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B73" i="17"/>
  <c r="B74" i="17"/>
  <c r="B75" i="17"/>
  <c r="B76" i="17"/>
  <c r="B77" i="17"/>
  <c r="B78" i="17"/>
  <c r="B79" i="17"/>
  <c r="B80" i="17"/>
  <c r="B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F109" i="14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F105" i="14"/>
  <c r="F106" i="14"/>
  <c r="F110" i="14"/>
  <c r="J108" i="14"/>
  <c r="J104" i="14"/>
  <c r="E76" i="23"/>
  <c r="P16" i="17" l="1"/>
  <c r="P15" i="17"/>
  <c r="S15" i="17" l="1"/>
  <c r="R15" i="17"/>
  <c r="I74" i="17"/>
  <c r="I78" i="17"/>
  <c r="S16" i="17"/>
  <c r="R16" i="17"/>
  <c r="E78" i="17" l="1"/>
  <c r="G74" i="17"/>
  <c r="G75" i="17"/>
  <c r="G76" i="17"/>
  <c r="G77" i="17"/>
  <c r="G78" i="17"/>
  <c r="G79" i="17"/>
  <c r="G80" i="17"/>
  <c r="G81" i="17"/>
  <c r="E81" i="17"/>
  <c r="E77" i="17"/>
  <c r="E79" i="17"/>
  <c r="E76" i="17"/>
  <c r="E74" i="17"/>
  <c r="E75" i="17"/>
  <c r="E80" i="17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<sst xmlns="http://schemas.openxmlformats.org/spreadsheetml/2006/main" count="2793" uniqueCount="1168">
  <si>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</si>
  <si>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</si>
  <si>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</si>
  <si>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</si>
  <si>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</si>
  <si>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</si>
  <si>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</si>
  <si>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</si>
  <si>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</si>
  <si>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</si>
  <si>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</si>
  <si>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</si>
  <si>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</si>
  <si>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</si>
  <si>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</si>
  <si>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</si>
  <si>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</si>
  <si>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</si>
  <si>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</si>
  <si>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</si>
  <si>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</si>
  <si>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</si>
  <si>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</si>
  <si>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</si>
  <si>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</si>
  <si>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</si>
  <si>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</si>
  <si>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</si>
  <si>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</si>
  <si>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</si>
  <si>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</si>
  <si>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</si>
  <si>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</si>
  <si>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</si>
  <si>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</si>
  <si>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</si>
  <si>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</si>
  <si>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</si>
  <si>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</si>
  <si>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</si>
  <si>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</si>
  <si>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</si>
  <si>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</si>
  <si>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</si>
  <si>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</si>
  <si>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</si>
  <si>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</si>
  <si>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</si>
  <si>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</si>
  <si>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</si>
  <si>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</si>
  <si>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</si>
  <si>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</si>
  <si>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</si>
  <si>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</si>
  <si>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</si>
  <si>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</si>
  <si>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</si>
  <si>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</si>
  <si>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</si>
  <si>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</si>
  <si>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</si>
  <si>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</si>
  <si>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</si>
  <si>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</si>
  <si>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</si>
  <si>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</si>
  <si>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</si>
  <si>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</si>
  <si>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</si>
  <si>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</si>
  <si>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</si>
  <si>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</si>
  <si>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</si>
  <si>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</si>
  <si>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</si>
  <si>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</si>
  <si>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</si>
  <si>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</si>
  <si>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</si>
  <si>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</si>
  <si>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</si>
  <si>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</si>
  <si>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</si>
  <si>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</si>
  <si>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</si>
  <si>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</si>
  <si>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</si>
  <si>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</si>
  <si>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</si>
  <si>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</si>
  <si>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</si>
  <si>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</si>
  <si>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</si>
  <si>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</si>
  <si>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</si>
  <si>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</si>
  <si>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</si>
  <si>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</si>
  <si>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</si>
  <si>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</si>
  <si>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</si>
  <si>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</si>
  <si>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</si>
  <si>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</si>
  <si>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</si>
  <si>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</si>
  <si>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</si>
  <si>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</si>
  <si>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</si>
  <si>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</si>
  <si>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</si>
  <si>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</si>
  <si>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</si>
  <si>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</si>
  <si>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</si>
  <si>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</si>
  <si>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</si>
  <si>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</si>
  <si>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</si>
  <si>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</si>
  <si>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</si>
  <si>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</si>
  <si>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</si>
  <si>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</si>
  <si>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</si>
  <si>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</si>
  <si>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</si>
  <si>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</si>
  <si>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</si>
  <si>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</si>
  <si>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</si>
  <si>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</si>
  <si>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</si>
  <si>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</si>
  <si>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</si>
  <si>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</si>
  <si>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</si>
  <si>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</si>
  <si>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</si>
  <si>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</si>
  <si>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</si>
  <si>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</si>
  <si>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</si>
  <si>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</si>
  <si>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</si>
  <si>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</si>
  <si>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</si>
  <si>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</si>
  <si>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</si>
  <si>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</si>
  <si>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</si>
  <si>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</si>
  <si>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</si>
  <si>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</si>
  <si>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</si>
  <si>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</si>
  <si>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</si>
  <si>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</si>
  <si>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</si>
  <si>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</si>
  <si>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</si>
  <si>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</si>
  <si>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</si>
  <si>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</si>
  <si>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</si>
  <si>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</si>
  <si>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</si>
  <si>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</si>
  <si>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</si>
  <si>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</si>
  <si>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</si>
  <si>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</si>
  <si>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</si>
  <si>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</si>
  <si>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</si>
  <si>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</si>
  <si>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</si>
  <si>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</si>
  <si>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</si>
  <si>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</si>
  <si>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</si>
  <si>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</si>
  <si>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</si>
  <si>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</si>
  <si>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</si>
  <si>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</si>
  <si>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</si>
  <si>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</si>
  <si>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</si>
  <si>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</si>
  <si>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</si>
  <si>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</si>
  <si>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</si>
  <si>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</si>
  <si>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</si>
  <si>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</si>
  <si>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</si>
  <si>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</si>
  <si>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</si>
  <si>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</si>
  <si>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</si>
  <si>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</si>
  <si>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</si>
  <si>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</si>
  <si>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</si>
  <si>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</si>
  <si>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</si>
  <si>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</si>
  <si>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</si>
  <si>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</si>
  <si>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</si>
  <si>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</si>
  <si>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</si>
  <si>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</si>
  <si>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</si>
  <si>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</si>
  <si>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</si>
  <si>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</si>
  <si>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</si>
  <si>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</si>
  <si>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</si>
  <si>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</si>
  <si>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</si>
  <si>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</si>
  <si>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</si>
  <si>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</si>
  <si>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</si>
  <si>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</si>
  <si>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</si>
  <si>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</si>
  <si>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</si>
  <si>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</si>
  <si>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</si>
  <si>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</si>
  <si>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</si>
  <si>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</si>
  <si>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</si>
  <si>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</si>
  <si>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</si>
  <si>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</si>
  <si>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</si>
  <si>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</si>
  <si>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</si>
  <si>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</si>
  <si>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</si>
  <si>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</si>
  <si>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</si>
  <si>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</si>
  <si>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</si>
  <si>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</si>
  <si>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</si>
  <si>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</si>
  <si>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</si>
  <si>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</si>
  <si>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</si>
  <si>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</si>
  <si>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</si>
  <si>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</si>
  <si>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</si>
  <si>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</si>
  <si>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</si>
  <si>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</si>
  <si>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</si>
  <si>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</si>
  <si>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</si>
  <si>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</si>
  <si>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</si>
  <si>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</si>
  <si>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</si>
  <si>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</si>
  <si>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</si>
  <si>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</si>
  <si>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</si>
  <si>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</si>
  <si>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</si>
  <si>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</si>
  <si>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</si>
  <si>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</si>
  <si>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</si>
  <si>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</si>
  <si>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</si>
  <si>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</si>
  <si>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</si>
  <si>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</si>
  <si>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</si>
  <si>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</si>
  <si>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</si>
  <si>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</si>
  <si>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</si>
  <si>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</si>
  <si>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</si>
  <si>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</si>
  <si>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</si>
  <si>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</si>
  <si>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</si>
  <si>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</si>
  <si>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</si>
  <si>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</si>
  <si>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</si>
  <si>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</si>
  <si>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</si>
  <si>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</si>
  <si>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</si>
  <si>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</si>
  <si>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</si>
  <si>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</si>
  <si>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</si>
  <si>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</si>
  <si>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</si>
  <si>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</si>
  <si>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</si>
  <si>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</si>
  <si>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</si>
  <si>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</si>
  <si>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</si>
  <si>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</si>
  <si>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</si>
  <si>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</si>
  <si>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</si>
  <si>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</si>
  <si>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</si>
  <si>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</si>
  <si>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</si>
  <si>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</si>
  <si>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</si>
  <si>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</si>
  <si>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</si>
  <si>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</si>
  <si>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</si>
  <si>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</si>
  <si>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</si>
  <si>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</si>
  <si>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</si>
  <si>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</si>
  <si>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</si>
  <si>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</si>
  <si>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</si>
  <si>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</si>
  <si>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</si>
  <si>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</si>
  <si>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</si>
  <si>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</si>
  <si>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</si>
  <si>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</si>
  <si>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</si>
  <si>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</si>
  <si>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</si>
  <si>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</si>
  <si>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</si>
  <si>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</si>
  <si>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</si>
  <si>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</si>
  <si>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</si>
  <si>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</si>
  <si>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</si>
  <si>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</si>
  <si>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</si>
  <si>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</si>
  <si>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</si>
  <si>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</si>
  <si>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</si>
  <si>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</si>
  <si>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</si>
  <si>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</si>
  <si>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</si>
  <si>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</si>
  <si>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</si>
  <si>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</si>
  <si>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</si>
  <si>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</si>
  <si>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</si>
  <si>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</si>
  <si>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</si>
  <si>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</si>
  <si>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</si>
  <si>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</si>
  <si>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</si>
  <si>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</si>
  <si>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</si>
  <si>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</si>
  <si>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</si>
  <si>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</si>
  <si>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</si>
  <si>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</si>
  <si>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</si>
  <si>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</si>
  <si>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</si>
  <si>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</si>
  <si>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</si>
  <si>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</si>
  <si>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</si>
  <si>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</si>
  <si>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</si>
  <si>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</si>
  <si>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</si>
  <si>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</si>
  <si>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</si>
  <si>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</si>
  <si>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</si>
  <si>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</si>
  <si>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</si>
  <si>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</si>
  <si>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</si>
  <si>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</si>
  <si>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</si>
  <si>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</si>
  <si>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</si>
  <si>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</si>
  <si>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</si>
  <si>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</si>
  <si>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</si>
  <si>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</si>
  <si>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</si>
  <si>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</si>
  <si>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</si>
  <si>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</si>
  <si>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</si>
  <si>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</si>
  <si>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</si>
  <si>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</si>
  <si>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</si>
  <si>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</si>
  <si>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</si>
  <si>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</si>
  <si>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</si>
  <si>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</si>
  <si>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</si>
  <si>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</si>
  <si>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</si>
  <si>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</si>
  <si>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</si>
  <si>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</si>
  <si>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</si>
  <si>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</si>
  <si>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</si>
  <si>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</si>
  <si>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</si>
  <si>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</si>
  <si>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</si>
  <si>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</si>
  <si>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</si>
  <si>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</si>
  <si>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</si>
  <si>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</si>
  <si>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</si>
  <si>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</si>
  <si>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</si>
  <si>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</si>
  <si>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</si>
  <si>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</si>
  <si>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</si>
  <si>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</si>
  <si>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</si>
  <si>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</si>
  <si>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</si>
  <si>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</si>
  <si>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</si>
  <si>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</si>
  <si>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</si>
  <si>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</si>
  <si>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</si>
  <si>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</si>
  <si>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</si>
  <si>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</si>
  <si>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</si>
  <si>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</si>
  <si>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</si>
  <si>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</si>
  <si>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</si>
  <si>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</si>
  <si>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</si>
  <si>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</si>
  <si>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</si>
  <si>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</si>
  <si>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</si>
  <si>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</si>
  <si>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</si>
  <si>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</si>
  <si>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</si>
  <si>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</si>
  <si>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</si>
  <si>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</si>
  <si>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</si>
  <si>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</si>
  <si>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</si>
  <si>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</si>
  <si>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</si>
  <si>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</si>
  <si>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</si>
  <si>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</si>
  <si>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</si>
  <si>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</si>
  <si>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</si>
  <si>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</si>
  <si>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</si>
  <si>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</si>
  <si>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</si>
  <si>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</si>
  <si>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</si>
  <si>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</si>
  <si>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</si>
  <si>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</si>
  <si>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</si>
  <si>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</si>
  <si>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</si>
  <si>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</si>
  <si>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</si>
  <si>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</si>
  <si>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</si>
  <si>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</si>
  <si>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</si>
  <si>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</si>
  <si>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</si>
  <si>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</si>
  <si>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</si>
  <si>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</si>
  <si>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</si>
  <si>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</si>
  <si>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</si>
  <si>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</si>
  <si>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</si>
  <si>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</si>
  <si>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</si>
  <si>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</si>
  <si>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</si>
  <si>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</si>
  <si>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</si>
  <si>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</si>
  <si>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</si>
  <si>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</si>
  <si>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</si>
  <si>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</si>
  <si>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</si>
  <si>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</si>
  <si>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</si>
  <si>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</si>
  <si>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</si>
  <si>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</si>
  <si>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</si>
  <si>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</si>
  <si>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</si>
  <si>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</si>
  <si>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</si>
  <si>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</si>
  <si>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</si>
  <si>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</si>
  <si>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</si>
  <si>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</si>
  <si>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</si>
  <si>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</si>
  <si>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</si>
  <si>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</si>
  <si>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</si>
  <si>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</si>
  <si>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</si>
  <si>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</si>
  <si>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</si>
  <si>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</si>
  <si>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</si>
  <si>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</si>
  <si>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</si>
  <si>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</si>
  <si>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</si>
  <si>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</si>
  <si>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</si>
  <si>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</si>
  <si>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</si>
  <si>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</si>
  <si>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</si>
  <si>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</si>
  <si>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</si>
  <si>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</si>
  <si>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</si>
  <si>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</si>
  <si>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</si>
  <si>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</si>
  <si>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</si>
  <si>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</si>
  <si>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</si>
  <si>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</si>
  <si>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</si>
  <si>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</si>
  <si>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</si>
  <si>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</si>
  <si>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</si>
  <si>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</si>
  <si>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</si>
  <si>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</si>
  <si>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</si>
  <si>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</si>
  <si>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</si>
  <si>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</si>
  <si>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</si>
  <si>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</si>
  <si>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</si>
  <si>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</si>
  <si>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</si>
  <si>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</si>
  <si>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</si>
  <si>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</si>
  <si>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</si>
  <si>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</si>
  <si>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</si>
  <si>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</si>
  <si>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</si>
  <si>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</si>
  <si>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</si>
  <si>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</si>
  <si>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</si>
  <si>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</si>
  <si>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</si>
  <si>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</si>
  <si>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</si>
  <si>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</si>
  <si>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</si>
  <si>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</si>
  <si>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</si>
  <si>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</si>
  <si>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</si>
  <si>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</si>
  <si>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</si>
  <si>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</si>
  <si>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</si>
  <si>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</si>
  <si>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</si>
  <si>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</si>
  <si>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</si>
  <si>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</si>
  <si>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</si>
  <si>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</si>
  <si>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</si>
  <si>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</si>
  <si>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</si>
  <si>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</si>
  <si>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</si>
  <si>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</si>
  <si>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</si>
  <si>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</si>
  <si>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</si>
  <si>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</si>
  <si>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</si>
  <si>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</si>
  <si>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</si>
  <si>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</si>
  <si>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</si>
  <si>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</si>
  <si>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</si>
  <si>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</si>
  <si>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</si>
  <si>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</si>
  <si>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</si>
  <si>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</si>
  <si>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</si>
  <si>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</si>
  <si>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</si>
  <si>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</si>
  <si>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</si>
  <si>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</si>
  <si>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</si>
  <si>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</si>
  <si>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</si>
  <si>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</si>
  <si>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</si>
  <si>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</si>
  <si>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</si>
  <si>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</si>
  <si>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</si>
  <si>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</si>
  <si>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</si>
  <si>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</si>
  <si>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</si>
  <si>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</si>
  <si>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</si>
  <si>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</si>
  <si>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</si>
  <si>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</si>
  <si>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</si>
  <si>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</si>
  <si>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</si>
  <si>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</si>
  <si>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</si>
  <si>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</si>
  <si>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</si>
  <si>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</si>
  <si>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</si>
  <si>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</si>
  <si>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</si>
  <si>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</si>
  <si>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</si>
  <si>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</si>
  <si>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</si>
  <si>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</si>
  <si>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</si>
  <si>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</si>
  <si>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</si>
  <si>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</si>
  <si>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</si>
  <si>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</si>
  <si>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</si>
  <si>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</si>
  <si>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</si>
  <si>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</si>
  <si>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</si>
  <si>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</si>
  <si>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</si>
  <si>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</si>
  <si>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</si>
  <si>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</si>
  <si>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</si>
  <si>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</si>
  <si>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</si>
  <si>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</si>
  <si>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</si>
  <si>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</si>
  <si>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</si>
  <si>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</si>
  <si>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</si>
  <si>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</si>
  <si>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</si>
  <si>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</si>
  <si>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</si>
  <si>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</si>
  <si>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</si>
  <si>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</si>
  <si>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</si>
  <si>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</si>
  <si>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</si>
  <si>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</si>
  <si>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</si>
  <si>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</si>
  <si>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</si>
  <si>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</si>
  <si>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</si>
  <si>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</si>
  <si>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</si>
  <si>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</si>
  <si>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</si>
  <si>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</si>
  <si>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</si>
  <si>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</si>
  <si>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</si>
  <si>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</si>
  <si>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</si>
  <si>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</si>
  <si>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</si>
  <si>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</si>
  <si>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</si>
  <si>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</si>
  <si>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</si>
  <si>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</si>
  <si>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</si>
  <si>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</si>
  <si>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</si>
  <si>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</si>
  <si>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</si>
  <si>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</si>
  <si>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</si>
  <si>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</si>
  <si>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</si>
  <si>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</si>
  <si>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</si>
  <si>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</si>
  <si>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</si>
  <si>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</si>
  <si>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</si>
  <si>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</si>
  <si>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</si>
  <si>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</si>
  <si>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</si>
  <si>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</si>
  <si>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</si>
  <si>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</si>
  <si>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</si>
  <si>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</si>
  <si>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</si>
  <si>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</si>
  <si>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</si>
  <si>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</si>
  <si>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</si>
  <si>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</si>
  <si>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</si>
  <si>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</si>
  <si>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</si>
  <si>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</si>
  <si>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</si>
  <si>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</si>
  <si>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</si>
  <si>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</si>
  <si>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</si>
  <si>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</si>
  <si>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</si>
  <si>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</si>
  <si>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</si>
  <si>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</si>
  <si>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</si>
  <si>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</si>
  <si>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</si>
  <si>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</si>
  <si>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</si>
  <si>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</si>
  <si>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</si>
  <si>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</si>
  <si>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</si>
  <si>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</si>
  <si>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</si>
  <si>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</si>
  <si>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</si>
  <si>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</si>
  <si>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</si>
  <si>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</si>
  <si>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</si>
  <si>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</si>
  <si>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</si>
  <si>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</si>
  <si>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</si>
  <si>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</si>
  <si>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</si>
  <si>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</si>
  <si>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</si>
  <si>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</si>
  <si>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</si>
  <si>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</si>
  <si>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</si>
  <si>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</si>
  <si>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</si>
  <si>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</si>
  <si>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</si>
  <si>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</si>
  <si>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</si>
  <si>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</si>
  <si>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</si>
  <si>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</si>
  <si>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</si>
  <si>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</si>
  <si>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</si>
  <si>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</si>
  <si>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</si>
  <si>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</si>
  <si>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</si>
  <si>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</si>
  <si>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</si>
  <si>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</si>
  <si>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</si>
  <si>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</si>
  <si>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</si>
  <si>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</si>
  <si>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</si>
  <si>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</si>
  <si>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</si>
  <si>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</si>
  <si>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</si>
  <si>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</si>
  <si>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</si>
  <si>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</si>
  <si>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</si>
  <si>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</si>
  <si>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</si>
  <si>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</si>
  <si>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</si>
  <si>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</si>
  <si>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</si>
  <si>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</si>
  <si>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</si>
  <si>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</si>
  <si>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</si>
  <si>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</si>
  <si>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</si>
  <si>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</si>
  <si>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</si>
  <si>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</si>
  <si>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</si>
  <si>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</si>
  <si>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</si>
  <si>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</si>
  <si>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</si>
  <si>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</si>
  <si>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</si>
  <si>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</si>
  <si>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</si>
  <si>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</si>
  <si>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</si>
  <si>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</si>
  <si>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</si>
  <si>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</si>
  <si>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</si>
  <si>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</si>
  <si>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</si>
  <si>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</si>
  <si>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</si>
  <si>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</si>
  <si>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</si>
  <si>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</si>
  <si>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</si>
  <si>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</si>
  <si>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</si>
  <si>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</si>
  <si>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</si>
  <si>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</si>
  <si>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</si>
  <si>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</si>
  <si>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</si>
  <si>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</si>
  <si>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</si>
  <si>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</si>
  <si>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</si>
  <si>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</si>
  <si>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</si>
  <si>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</si>
  <si>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</si>
  <si>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</si>
  <si>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</si>
  <si>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</si>
  <si>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</si>
  <si>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</si>
  <si>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</si>
  <si>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</si>
  <si>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</si>
  <si>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</si>
  <si>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</si>
  <si>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</si>
  <si>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</si>
  <si>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</si>
  <si>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</si>
  <si>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</si>
  <si>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</si>
  <si>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</si>
  <si>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</si>
  <si>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</si>
  <si>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</si>
  <si>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</si>
  <si>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</si>
  <si>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</si>
  <si>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</si>
  <si>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</si>
  <si>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</si>
  <si>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</si>
  <si>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</si>
  <si>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</si>
  <si>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</si>
  <si>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</si>
  <si>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</si>
  <si>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</si>
  <si>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</si>
  <si>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</si>
  <si>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</si>
  <si>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</si>
  <si>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</si>
  <si>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</si>
  <si>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</si>
  <si>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</si>
  <si>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</si>
  <si>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</si>
  <si>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</si>
  <si>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</si>
  <si>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</si>
  <si>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</si>
  <si>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</si>
  <si>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</si>
  <si>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</si>
  <si>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</si>
  <si>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</si>
  <si>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</si>
  <si>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</si>
  <si>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</si>
  <si>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</si>
  <si>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</si>
  <si>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</si>
  <si>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</si>
  <si>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</si>
  <si>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</si>
  <si>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</si>
  <si>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</si>
  <si>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</si>
  <si>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</si>
  <si>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</si>
  <si>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</si>
  <si>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</si>
  <si>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</si>
  <si>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</si>
  <si>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</si>
  <si>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</si>
  <si>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</si>
  <si>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</si>
  <si>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</si>
  <si>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</si>
  <si>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</si>
  <si>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</si>
  <si>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</si>
  <si>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</si>
  <si>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</si>
  <si>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</si>
  <si>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</si>
  <si>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</si>
  <si>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</si>
  <si>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</si>
  <si>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</si>
  <si>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</si>
  <si>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</si>
  <si>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</si>
  <si>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</si>
  <si>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</si>
  <si>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</si>
  <si>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</si>
  <si>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</si>
  <si>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</si>
  <si>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</si>
  <si>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</si>
  <si>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</si>
  <si>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</si>
  <si>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</si>
  <si>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</si>
  <si>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</si>
  <si>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</si>
  <si>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</si>
  <si>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</si>
  <si>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</si>
  <si>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</si>
  <si>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</si>
  <si>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</si>
  <si>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</si>
  <si>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</si>
  <si>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</si>
  <si>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</si>
  <si>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</si>
  <si>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</si>
  <si>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</si>
  <si>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</si>
  <si>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</si>
  <si>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</si>
  <si>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</si>
  <si>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</si>
  <si>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</si>
  <si>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</si>
  <si>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</si>
  <si>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</si>
  <si>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</si>
  <si>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</si>
  <si>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</si>
  <si>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</si>
  <si>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</si>
  <si>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</si>
  <si>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</si>
  <si>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</si>
  <si>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</si>
  <si>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</si>
  <si>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</si>
  <si>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</si>
  <si>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</si>
  <si>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</si>
  <si>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</si>
  <si>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</si>
  <si>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</si>
  <si>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</si>
  <si>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</si>
  <si>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</si>
  <si>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</si>
  <si>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</si>
  <si>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</si>
  <si>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</si>
  <si>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</si>
  <si>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</si>
  <si>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</si>
  <si>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</si>
  <si>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</si>
  <si>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</si>
  <si>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</si>
  <si>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</si>
  <si>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</si>
  <si>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</si>
  <si>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</si>
  <si>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</si>
  <si>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</si>
  <si>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</si>
  <si>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</si>
  <si>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</si>
  <si>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</si>
  <si>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</si>
  <si>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</si>
  <si>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</si>
  <si>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</si>
  <si>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</si>
  <si>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</si>
  <si>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</si>
  <si>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</si>
  <si>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</si>
  <si>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</si>
  <si>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</si>
  <si>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</si>
  <si>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</si>
  <si>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</si>
  <si>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</si>
  <si>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</si>
  <si>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</si>
  <si>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</si>
  <si>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</si>
  <si>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</si>
  <si>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</si>
  <si>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</si>
  <si>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</si>
  <si>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</si>
  <si>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</si>
  <si>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</si>
  <si>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</si>
  <si>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</si>
  <si>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</si>
  <si>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</si>
  <si>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</si>
  <si>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</si>
  <si>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</si>
  <si>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</si>
  <si>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</si>
  <si>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</si>
  <si>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</si>
  <si>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</si>
  <si>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</si>
  <si>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</si>
  <si>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</si>
  <si>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</si>
  <si>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</si>
  <si>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</si>
  <si>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</si>
  <si>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</si>
  <si>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</si>
  <si>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</si>
  <si>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</si>
  <si>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</si>
  <si>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</si>
  <si>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</si>
  <si>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</si>
  <si>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</si>
  <si>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</si>
  <si>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</si>
  <si>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</si>
  <si>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</si>
  <si>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</si>
  <si>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</si>
  <si>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</si>
  <si>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</si>
  <si>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</si>
  <si>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</si>
  <si>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</si>
  <si>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</si>
  <si>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</si>
  <si>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</si>
  <si>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</si>
  <si>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</si>
  <si>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</si>
  <si>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</si>
  <si>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</si>
  <si>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</si>
  <si>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</si>
  <si>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</si>
  <si>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</si>
  <si>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</si>
  <si>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</si>
  <si>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</si>
  <si>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</si>
  <si>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</si>
  <si>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</si>
  <si>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</si>
  <si>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</si>
  <si>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</si>
  <si>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</si>
  <si>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</si>
  <si>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</si>
  <si>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hoc lai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</si>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</sst>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5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1" t="s">
        <v>77</v>
      </c>
      <c r="B1" s="221"/>
      <c r="C1" s="221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5">
        <v>2</v>
      </c>
      <c r="B4" s="223" t="s">
        <v>146</v>
      </c>
      <c r="C4" s="21" t="s">
        <v>15</v>
      </c>
    </row>
    <row r="5" spans="1:3" s="20" customFormat="1" ht="18" customHeight="1">
      <c r="A5" s="222"/>
      <c r="B5" s="224"/>
      <c r="C5" s="22" t="s">
        <v>6</v>
      </c>
    </row>
    <row r="6" spans="1:3" s="20" customFormat="1" ht="33">
      <c r="A6" s="222"/>
      <c r="B6" s="224"/>
      <c r="C6" s="23" t="s">
        <v>79</v>
      </c>
    </row>
    <row r="7" spans="1:3" s="20" customFormat="1" ht="16.5">
      <c r="A7" s="222"/>
      <c r="B7" s="224"/>
      <c r="C7" s="24" t="s">
        <v>68</v>
      </c>
    </row>
    <row r="8" spans="1:3" s="20" customFormat="1" ht="16.5">
      <c r="A8" s="222"/>
      <c r="B8" s="224"/>
      <c r="C8" s="25" t="s">
        <v>69</v>
      </c>
    </row>
    <row r="9" spans="1:3" s="20" customFormat="1" ht="33.75" thickBot="1">
      <c r="A9" s="222"/>
      <c r="B9" s="224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5">
        <v>4</v>
      </c>
      <c r="B11" s="217" t="s">
        <v>201</v>
      </c>
      <c r="C11" s="218"/>
    </row>
    <row r="12" spans="1:3" s="20" customFormat="1" ht="36" customHeight="1" thickBot="1">
      <c r="A12" s="216"/>
      <c r="B12" s="219" t="s">
        <v>147</v>
      </c>
      <c r="C12" s="220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4" t="s">
        <v>1157</v>
      </c>
      <c r="B1" s="235"/>
      <c r="C1" s="235"/>
      <c r="D1" s="235"/>
      <c r="E1" s="235"/>
      <c r="F1" s="235"/>
      <c r="G1" s="235"/>
      <c r="H1" s="235"/>
      <c r="I1" s="235"/>
    </row>
    <row r="2" spans="1:9" ht="24" customHeight="1">
      <c r="A2" s="236" t="s">
        <v>18</v>
      </c>
      <c r="B2" s="238" t="s">
        <v>62</v>
      </c>
      <c r="C2" s="238" t="s">
        <v>63</v>
      </c>
      <c r="D2" s="244" t="s">
        <v>5</v>
      </c>
      <c r="E2" s="240" t="s">
        <v>1156</v>
      </c>
      <c r="F2" s="241"/>
      <c r="G2" s="242" t="s">
        <v>1154</v>
      </c>
      <c r="H2" s="242" t="s">
        <v>1155</v>
      </c>
      <c r="I2" s="232" t="s">
        <v>64</v>
      </c>
    </row>
    <row r="3" spans="1:9" ht="24" customHeight="1" thickBot="1">
      <c r="A3" s="237"/>
      <c r="B3" s="239"/>
      <c r="C3" s="239"/>
      <c r="D3" s="245"/>
      <c r="E3" s="70" t="s">
        <v>4</v>
      </c>
      <c r="F3" s="70" t="s">
        <v>3</v>
      </c>
      <c r="G3" s="243"/>
      <c r="H3" s="243"/>
      <c r="I3" s="233"/>
    </row>
    <row r="4" spans="1:9">
      <c r="A4" s="226">
        <v>1</v>
      </c>
      <c r="B4" s="229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6"/>
      <c r="B5" s="229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6"/>
      <c r="B6" s="229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6"/>
      <c r="B7" s="229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6"/>
      <c r="B8" s="229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6"/>
      <c r="B9" s="229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6"/>
      <c r="B10" s="229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6"/>
      <c r="B11" s="229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6"/>
      <c r="B12" s="229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6"/>
      <c r="B13" s="229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6"/>
      <c r="B14" s="229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5">
        <v>2</v>
      </c>
      <c r="B15" s="228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6"/>
      <c r="B16" s="229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6"/>
      <c r="B17" s="229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6"/>
      <c r="B18" s="229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6"/>
      <c r="B19" s="231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6"/>
      <c r="B20" s="229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6"/>
      <c r="B21" s="229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6"/>
      <c r="B22" s="229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6"/>
      <c r="B23" s="229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6"/>
      <c r="B24" s="229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6"/>
      <c r="B25" s="229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7"/>
      <c r="B26" s="229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5">
        <v>3</v>
      </c>
      <c r="B27" s="228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6"/>
      <c r="B28" s="229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6"/>
      <c r="B29" s="229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6"/>
      <c r="B30" s="229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6"/>
      <c r="B31" s="229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6"/>
      <c r="B32" s="229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6"/>
      <c r="B33" s="229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6"/>
      <c r="B34" s="229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6"/>
      <c r="B35" s="229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7"/>
      <c r="B36" s="230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5">
        <v>4</v>
      </c>
      <c r="B37" s="228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6"/>
      <c r="B38" s="229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6"/>
      <c r="B39" s="229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6"/>
      <c r="B40" s="229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6"/>
      <c r="B41" s="229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6"/>
      <c r="B42" s="229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6"/>
      <c r="B43" s="229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6"/>
      <c r="B44" s="229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6"/>
      <c r="B45" s="229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7"/>
      <c r="B46" s="230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5">
        <v>5</v>
      </c>
      <c r="B47" s="228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6"/>
      <c r="B48" s="229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6"/>
      <c r="B49" s="229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6"/>
      <c r="B50" s="229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6"/>
      <c r="B51" s="229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6"/>
      <c r="B52" s="229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6"/>
      <c r="B53" s="229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6"/>
      <c r="B54" s="229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7"/>
      <c r="B55" s="230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6">
        <v>6</v>
      </c>
      <c r="B56" s="229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6"/>
      <c r="B57" s="229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6"/>
      <c r="B58" s="229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6"/>
      <c r="B59" s="229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6"/>
      <c r="B60" s="229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6"/>
      <c r="B61" s="229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6"/>
      <c r="B62" s="229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6"/>
      <c r="B63" s="229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7"/>
      <c r="B64" s="230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62" activePane="bottomLeft" state="frozen"/>
      <selection pane="bottomLeft" activeCell="B265" sqref="B265:B274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58" t="s">
        <v>143</v>
      </c>
      <c r="B1" s="258"/>
      <c r="C1" s="258"/>
      <c r="D1" s="258"/>
      <c r="E1" s="258"/>
      <c r="F1" s="262" t="s">
        <v>75</v>
      </c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</row>
    <row r="2" spans="1:20" ht="27.75" customHeight="1">
      <c r="A2" s="259" t="s">
        <v>141</v>
      </c>
      <c r="B2" s="260"/>
      <c r="C2" s="260"/>
      <c r="D2" s="260"/>
      <c r="E2" s="260"/>
      <c r="F2" s="263" t="s">
        <v>74</v>
      </c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20" ht="15.75">
      <c r="A3" s="249" t="s">
        <v>142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</row>
    <row r="4" spans="1:20" ht="18.75">
      <c r="A4" s="261" t="s">
        <v>87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</row>
    <row r="5" spans="1:20" ht="18.75">
      <c r="A5" s="251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</row>
    <row r="6" spans="1:20" s="34" customFormat="1" ht="16.5">
      <c r="A6" s="33"/>
      <c r="B6" s="33" t="s">
        <v>19</v>
      </c>
      <c r="C6" s="270"/>
      <c r="D6" s="270"/>
      <c r="E6" s="270"/>
      <c r="F6" s="270"/>
      <c r="G6" s="270"/>
      <c r="H6" s="248" t="s">
        <v>32</v>
      </c>
      <c r="I6" s="248"/>
      <c r="J6" s="53"/>
      <c r="K6" s="33" t="s">
        <v>31</v>
      </c>
      <c r="L6" s="247" t="str">
        <f>IF(ISNA(VLOOKUP($B12,'DANH SÁCH LỚP'!$B$2:$F$968,5,FALSE))=TRUE,"",VLOOKUP($B12,'DANH SÁCH LỚP'!$B$2:$F$968,5,FALSE))</f>
        <v/>
      </c>
      <c r="M6" s="247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75" t="s">
        <v>193</v>
      </c>
      <c r="G7" s="275"/>
      <c r="H7" s="275"/>
      <c r="I7" s="275"/>
      <c r="J7" s="275"/>
      <c r="K7" s="275"/>
      <c r="L7" s="255" t="s">
        <v>90</v>
      </c>
      <c r="M7" s="255"/>
      <c r="N7" s="255"/>
      <c r="O7" s="255"/>
      <c r="P7" s="255"/>
      <c r="Q7" s="255"/>
      <c r="R7" s="255"/>
      <c r="S7" s="83"/>
      <c r="T7" s="83"/>
    </row>
    <row r="8" spans="1:20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57" t="s">
        <v>2</v>
      </c>
      <c r="N8" s="253" t="s">
        <v>1</v>
      </c>
      <c r="O8" s="253" t="s">
        <v>73</v>
      </c>
      <c r="P8" s="253" t="s">
        <v>65</v>
      </c>
      <c r="Q8" s="264" t="s">
        <v>28</v>
      </c>
      <c r="R8" s="253" t="s">
        <v>86</v>
      </c>
    </row>
    <row r="9" spans="1:20" s="39" customFormat="1" ht="15">
      <c r="A9" s="253"/>
      <c r="B9" s="253"/>
      <c r="C9" s="253"/>
      <c r="D9" s="253"/>
      <c r="E9" s="273"/>
      <c r="F9" s="253"/>
      <c r="G9" s="253"/>
      <c r="H9" s="253"/>
      <c r="I9" s="253"/>
      <c r="J9" s="253"/>
      <c r="K9" s="253"/>
      <c r="L9" s="253"/>
      <c r="M9" s="257"/>
      <c r="N9" s="256"/>
      <c r="O9" s="253"/>
      <c r="P9" s="253"/>
      <c r="Q9" s="265"/>
      <c r="R9" s="256"/>
    </row>
    <row r="10" spans="1:20" s="39" customFormat="1" ht="15">
      <c r="A10" s="253"/>
      <c r="B10" s="253"/>
      <c r="C10" s="253"/>
      <c r="D10" s="253"/>
      <c r="E10" s="273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57"/>
      <c r="N10" s="256"/>
      <c r="O10" s="253"/>
      <c r="P10" s="253"/>
      <c r="Q10" s="265"/>
      <c r="R10" s="256"/>
    </row>
    <row r="11" spans="1:20" s="39" customFormat="1" ht="15">
      <c r="A11" s="253"/>
      <c r="B11" s="253"/>
      <c r="C11" s="253"/>
      <c r="D11" s="253"/>
      <c r="E11" s="273"/>
      <c r="F11" s="253"/>
      <c r="G11" s="253"/>
      <c r="H11" s="253"/>
      <c r="I11" s="253"/>
      <c r="J11" s="253"/>
      <c r="K11" s="253"/>
      <c r="L11" s="253"/>
      <c r="M11" s="257"/>
      <c r="N11" s="256"/>
      <c r="O11" s="253"/>
      <c r="P11" s="253"/>
      <c r="Q11" s="265"/>
      <c r="R11" s="256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71" t="s">
        <v>986</v>
      </c>
      <c r="B102" s="272"/>
      <c r="C102" s="272"/>
      <c r="D102" s="272"/>
      <c r="E102" s="272"/>
      <c r="F102" s="272"/>
      <c r="G102" s="272"/>
      <c r="H102" s="272"/>
      <c r="I102" s="272"/>
      <c r="J102" s="272"/>
      <c r="K102" s="272"/>
      <c r="L102" s="272"/>
      <c r="M102" s="272"/>
      <c r="N102" s="272"/>
      <c r="P102" s="66"/>
      <c r="Q102" s="66"/>
      <c r="R102" s="66"/>
    </row>
    <row r="103" spans="1:18" s="44" customFormat="1" ht="12.75" customHeight="1">
      <c r="A103" s="3"/>
      <c r="B103" s="274" t="str">
        <f>"Tổng danh sách có"</f>
        <v>Tổng danh sách có</v>
      </c>
      <c r="C103" s="274"/>
      <c r="D103" s="274"/>
      <c r="E103" s="274"/>
      <c r="F103" s="254" t="str">
        <f>": "&amp;IF(MAX($A$12:$A$101)=1,0,MAX($A$12:$A$101))&amp;" SV"</f>
        <v>: 0 SV</v>
      </c>
      <c r="G103" s="25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2" t="str">
        <f>"Tổng số SV có điểm Xuất sắc từ 9 đ đến 10 đ"</f>
        <v>Tổng số SV có điểm Xuất sắc từ 9 đ đến 10 đ</v>
      </c>
      <c r="C104" s="252"/>
      <c r="D104" s="252"/>
      <c r="E104" s="252"/>
      <c r="F104" s="252" t="str">
        <f>": "&amp;COUNTIF($Q$12:$Q$101,"XS")&amp;" SV"</f>
        <v>: 0 SV</v>
      </c>
      <c r="G104" s="252"/>
      <c r="H104" s="252" t="str">
        <f>"("&amp;IF(B12="",0,ROUND(COUNTIF($Q$12:$Q$101,"XS")*100/MAX($A$12:$A$101),2))&amp;"%" &amp;")"</f>
        <v>(0%)</v>
      </c>
      <c r="I104" s="252"/>
      <c r="J104" s="276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76"/>
      <c r="L104" s="276"/>
      <c r="M104" s="276"/>
      <c r="N104" s="276"/>
      <c r="P104" s="66"/>
      <c r="Q104" s="66"/>
      <c r="R104" s="66"/>
    </row>
    <row r="105" spans="1:18" s="44" customFormat="1">
      <c r="A105" s="2"/>
      <c r="B105" s="252" t="str">
        <f>"Tổng số SV có điểm Giỏi từ 8 đ đến &lt;9 đ"</f>
        <v>Tổng số SV có điểm Giỏi từ 8 đ đến &lt;9 đ</v>
      </c>
      <c r="C105" s="252"/>
      <c r="D105" s="252"/>
      <c r="E105" s="252"/>
      <c r="F105" s="252" t="str">
        <f>": "&amp;COUNTIF($Q$12:$Q$101,"Giỏi")&amp;" SV"</f>
        <v>: 0 SV</v>
      </c>
      <c r="G105" s="252"/>
      <c r="H105" s="252" t="str">
        <f>"("&amp;IF(B12="",0,ROUND(COUNTIF($Q$12:$Q$101,"Giỏi")*100/MAX($A$12:$A$101),2))&amp;"%" &amp;")"</f>
        <v>(0%)</v>
      </c>
      <c r="I105" s="252"/>
      <c r="J105" s="276"/>
      <c r="K105" s="276"/>
      <c r="L105" s="276"/>
      <c r="M105" s="276"/>
      <c r="N105" s="276"/>
      <c r="P105" s="66"/>
      <c r="Q105" s="66"/>
      <c r="R105" s="66"/>
    </row>
    <row r="106" spans="1:18" s="44" customFormat="1">
      <c r="A106" s="2"/>
      <c r="B106" s="252" t="str">
        <f>"Tổng số SV có điểm Khá từ 7 đ đến &lt;8 đ"</f>
        <v>Tổng số SV có điểm Khá từ 7 đ đến &lt;8 đ</v>
      </c>
      <c r="C106" s="252"/>
      <c r="D106" s="252"/>
      <c r="E106" s="252"/>
      <c r="F106" s="252" t="str">
        <f>": "&amp;COUNTIF($Q$12:$Q$101,"Khá")&amp;" SV"</f>
        <v>: 0 SV</v>
      </c>
      <c r="G106" s="252"/>
      <c r="H106" s="252" t="str">
        <f>"("&amp;IF(B12="",0,ROUND(COUNTIF($Q$12:$Q$101,"Khá")*100/MAX($A$12:$A$101),2))&amp;"%" &amp;")"</f>
        <v>(0%)</v>
      </c>
      <c r="I106" s="252"/>
      <c r="J106" s="276"/>
      <c r="K106" s="276"/>
      <c r="L106" s="276"/>
      <c r="M106" s="276"/>
      <c r="N106" s="276"/>
      <c r="P106" s="66"/>
      <c r="Q106" s="66"/>
      <c r="R106" s="66"/>
    </row>
    <row r="107" spans="1:18" s="44" customFormat="1">
      <c r="A107" s="2"/>
      <c r="B107" s="252" t="str">
        <f>"Tổng số SV có điểm Trung bình khá từ 6 đ đến &lt;7 đ"</f>
        <v>Tổng số SV có điểm Trung bình khá từ 6 đ đến &lt;7 đ</v>
      </c>
      <c r="C107" s="252"/>
      <c r="D107" s="252"/>
      <c r="E107" s="252"/>
      <c r="F107" s="252" t="str">
        <f>": "&amp;COUNTIF($Q$12:$Q$101,"TBK")&amp;" SV"</f>
        <v>: 0 SV</v>
      </c>
      <c r="G107" s="252"/>
      <c r="H107" s="252" t="str">
        <f>"("&amp;IF(B12="",0,ROUND(COUNTIF($Q$12:$Q$101,"TBK")*100/MAX($A$12:$A$101),2))&amp;"%" &amp;")"</f>
        <v>(0%)</v>
      </c>
      <c r="I107" s="252"/>
      <c r="J107" s="276"/>
      <c r="K107" s="276"/>
      <c r="L107" s="276"/>
      <c r="M107" s="276"/>
      <c r="N107" s="276"/>
      <c r="P107" s="66"/>
      <c r="Q107" s="66"/>
      <c r="R107" s="66"/>
    </row>
    <row r="108" spans="1:18" s="44" customFormat="1">
      <c r="A108" s="2"/>
      <c r="B108" s="252" t="str">
        <f>"Tổng số SV có điểm Trung bình từ 5 đ đến &lt;6 đ"</f>
        <v>Tổng số SV có điểm Trung bình từ 5 đ đến &lt;6 đ</v>
      </c>
      <c r="C108" s="252"/>
      <c r="D108" s="252"/>
      <c r="E108" s="252"/>
      <c r="F108" s="252" t="str">
        <f>": "&amp;COUNTIF($Q$12:$Q$101,"TB")&amp;" SV"</f>
        <v>: 0 SV</v>
      </c>
      <c r="G108" s="252"/>
      <c r="H108" s="252" t="str">
        <f>"("&amp;IF(B12="",0,ROUND(COUNTIF($Q$12:$Q$101,"TB")*100/MAX($A$12:$A$101),2))&amp;"%" &amp;")"</f>
        <v>(0%)</v>
      </c>
      <c r="I108" s="252"/>
      <c r="J108" s="269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9"/>
      <c r="L108" s="269"/>
      <c r="M108" s="269"/>
      <c r="N108" s="269"/>
      <c r="P108" s="66"/>
      <c r="Q108" s="66"/>
      <c r="R108" s="66"/>
    </row>
    <row r="109" spans="1:18" s="44" customFormat="1">
      <c r="A109" s="2"/>
      <c r="B109" s="252" t="str">
        <f>"Tổng số SV có điểm Yếu từ 4 đ đến &lt;5 đ"</f>
        <v>Tổng số SV có điểm Yếu từ 4 đ đến &lt;5 đ</v>
      </c>
      <c r="C109" s="252"/>
      <c r="D109" s="252"/>
      <c r="E109" s="252"/>
      <c r="F109" s="252" t="str">
        <f>": "&amp;COUNTIF($Q$12:$Q$101,"Yếu")&amp;" SV"</f>
        <v>: 0 SV</v>
      </c>
      <c r="G109" s="252"/>
      <c r="H109" s="252" t="str">
        <f>"("&amp;IF(B12="",0,ROUND(COUNTIF($Q$12:$Q$101,"Yếu")*100/MAX($A$12:$A$101),2))&amp;"%"&amp;")"</f>
        <v>(0%)</v>
      </c>
      <c r="I109" s="252"/>
      <c r="J109" s="269"/>
      <c r="K109" s="269"/>
      <c r="L109" s="269"/>
      <c r="M109" s="269"/>
      <c r="N109" s="269"/>
      <c r="P109" s="66"/>
      <c r="Q109" s="66"/>
      <c r="R109" s="66"/>
    </row>
    <row r="110" spans="1:18" s="44" customFormat="1">
      <c r="A110" s="2"/>
      <c r="B110" s="252" t="str">
        <f>"Tổng số SV có điểm Kém dưới 4 đ"</f>
        <v>Tổng số SV có điểm Kém dưới 4 đ</v>
      </c>
      <c r="C110" s="252"/>
      <c r="D110" s="252"/>
      <c r="E110" s="252"/>
      <c r="F110" s="252" t="str">
        <f>": "&amp;COUNTIF($Q$12:$Q$101,"Kém")&amp;" SV"</f>
        <v>: 0 SV</v>
      </c>
      <c r="G110" s="252"/>
      <c r="H110" s="252" t="str">
        <f>"("&amp;IF(B12="",0,ROUND(COUNTIF($Q$12:$Q$101,"Kém")*100/MAX($A$12:$A$101),2))&amp;"%"&amp;")"</f>
        <v>(0%)</v>
      </c>
      <c r="I110" s="252"/>
      <c r="J110" s="269"/>
      <c r="K110" s="269"/>
      <c r="L110" s="269"/>
      <c r="M110" s="269"/>
      <c r="N110" s="269"/>
      <c r="P110" s="66"/>
      <c r="Q110" s="66"/>
      <c r="R110" s="66"/>
    </row>
    <row r="111" spans="1:18" s="44" customFormat="1">
      <c r="A111" s="2"/>
      <c r="B111" s="252" t="str">
        <f>"Tổng số SV không xếp loại vì chưa đủ điều kiện"</f>
        <v>Tổng số SV không xếp loại vì chưa đủ điều kiện</v>
      </c>
      <c r="C111" s="252"/>
      <c r="D111" s="252"/>
      <c r="E111" s="252"/>
      <c r="F111" s="252" t="str">
        <f>": "&amp;COUNTIF($Q$12:$Q$101,"KXL")&amp;" SV"</f>
        <v>: 0 SV</v>
      </c>
      <c r="G111" s="252"/>
      <c r="H111" s="252" t="str">
        <f>"("&amp;IF(B12="",0,ROUND(COUNTIF($Q$12:$Q$101,"KXL")*100/MAX($A$12:$A$101),2))&amp;"%"&amp;")"</f>
        <v>(0%)</v>
      </c>
      <c r="I111" s="252"/>
      <c r="J111" s="269"/>
      <c r="K111" s="269"/>
      <c r="L111" s="269"/>
      <c r="M111" s="269"/>
      <c r="N111" s="269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7" t="s">
        <v>20</v>
      </c>
      <c r="B113" s="267"/>
      <c r="C113" s="267"/>
      <c r="D113" s="267" t="s">
        <v>27</v>
      </c>
      <c r="E113" s="267"/>
      <c r="F113" s="267"/>
      <c r="G113" s="267"/>
      <c r="H113" s="267"/>
      <c r="I113" s="267" t="s">
        <v>21</v>
      </c>
      <c r="J113" s="267"/>
      <c r="K113" s="267"/>
      <c r="L113" s="267"/>
      <c r="M113" s="267"/>
      <c r="N113" s="267"/>
    </row>
    <row r="114" spans="1:18">
      <c r="A114" s="277"/>
      <c r="B114" s="277"/>
      <c r="C114" s="277"/>
      <c r="D114" s="45"/>
      <c r="E114" s="45"/>
      <c r="G114" s="45"/>
      <c r="H114" s="45"/>
      <c r="I114" s="45"/>
      <c r="J114" s="45"/>
      <c r="K114" s="268"/>
      <c r="L114" s="268"/>
      <c r="M114" s="268"/>
      <c r="N114" s="268"/>
    </row>
    <row r="119" spans="1:18" ht="18.75">
      <c r="D119" s="78"/>
      <c r="E119" s="84"/>
      <c r="F119" s="84"/>
      <c r="G119" s="84"/>
      <c r="H119" s="84"/>
      <c r="I119" s="266"/>
      <c r="J119" s="266"/>
      <c r="K119" s="266"/>
      <c r="L119" s="266"/>
      <c r="M119" s="266"/>
      <c r="N119" s="266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P120" s="56"/>
      <c r="Q120" s="56"/>
      <c r="R120" s="56"/>
    </row>
    <row r="127" spans="1:18" ht="18.75">
      <c r="I127" s="246"/>
      <c r="J127" s="246"/>
      <c r="K127" s="246"/>
      <c r="L127" s="246"/>
      <c r="M127" s="246"/>
      <c r="N127" s="246"/>
    </row>
  </sheetData>
  <sheetProtection password="CD88" sheet="1" formatCells="0" formatRows="0"/>
  <dataConsolidate/>
  <mergeCells count="65"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A1:E1"/>
    <mergeCell ref="A2:E2"/>
    <mergeCell ref="A4:R4"/>
    <mergeCell ref="F1:R1"/>
    <mergeCell ref="F2:R2"/>
    <mergeCell ref="F3:R3"/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U120"/>
  <sheetViews>
    <sheetView tabSelected="1" view="pageBreakPreview" topLeftCell="A9" zoomScaleNormal="100" workbookViewId="0">
      <selection activeCell="V103" sqref="V103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58" t="s">
        <v>143</v>
      </c>
      <c r="B1" s="258"/>
      <c r="C1" s="258"/>
      <c r="D1" s="258"/>
      <c r="E1" s="258"/>
      <c r="F1" s="262" t="s">
        <v>75</v>
      </c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</row>
    <row r="2" spans="1:18" ht="28.5" customHeight="1">
      <c r="A2" s="259" t="s">
        <v>141</v>
      </c>
      <c r="B2" s="260"/>
      <c r="C2" s="260"/>
      <c r="D2" s="260"/>
      <c r="E2" s="260"/>
      <c r="F2" s="263" t="s">
        <v>74</v>
      </c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 ht="15.75">
      <c r="A3" s="249" t="s">
        <v>142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</row>
    <row r="4" spans="1:18" ht="18.75">
      <c r="A4" s="261" t="s">
        <v>137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</row>
    <row r="5" spans="1:18" ht="18.75">
      <c r="A5" s="251" t="str">
        <f>IF(OR(B12="",C6="",J6="",I120=""),"Số liệu chỉ hiển thị khi thông tin Tên HP, số ĐVHT, Tên Giảng viên đã được điền đầy đủ","")</f>
        <v/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</row>
    <row r="6" spans="1:18" s="34" customFormat="1" ht="16.5">
      <c r="A6" s="33"/>
      <c r="B6" s="33" t="s">
        <v>19</v>
      </c>
      <c r="C6" s="278" t="s">
        <v>1163</v>
      </c>
      <c r="D6" s="278"/>
      <c r="E6" s="278"/>
      <c r="F6" s="278"/>
      <c r="G6" s="278"/>
      <c r="H6" s="248" t="s">
        <v>32</v>
      </c>
      <c r="I6" s="248"/>
      <c r="J6" s="214">
        <v>2</v>
      </c>
      <c r="K6" s="33" t="s">
        <v>31</v>
      </c>
      <c r="L6" s="247" t="str">
        <f>IF(ISNA(VLOOKUP($B12,'DANH SÁCH LỚP'!$B$2:$F$968,5,FALSE))=TRUE,"",VLOOKUP($B12,'DANH SÁCH LỚP'!$B$2:$F$968,5,FALSE))</f>
        <v>15TN-MTT</v>
      </c>
      <c r="M6" s="247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75" t="s">
        <v>193</v>
      </c>
      <c r="G7" s="275"/>
      <c r="H7" s="275"/>
      <c r="I7" s="275"/>
      <c r="J7" s="275"/>
      <c r="K7" s="275"/>
      <c r="L7" s="255" t="s">
        <v>89</v>
      </c>
      <c r="M7" s="255"/>
      <c r="N7" s="255"/>
      <c r="O7" s="255"/>
      <c r="P7" s="255"/>
      <c r="Q7" s="255"/>
      <c r="R7" s="255"/>
    </row>
    <row r="8" spans="1:18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57" t="s">
        <v>2</v>
      </c>
      <c r="N8" s="253" t="s">
        <v>1</v>
      </c>
      <c r="O8" s="253" t="s">
        <v>73</v>
      </c>
      <c r="P8" s="253" t="s">
        <v>65</v>
      </c>
      <c r="Q8" s="264" t="s">
        <v>28</v>
      </c>
      <c r="R8" s="253" t="s">
        <v>86</v>
      </c>
    </row>
    <row r="9" spans="1:18" s="39" customFormat="1" ht="15">
      <c r="A9" s="253"/>
      <c r="B9" s="253"/>
      <c r="C9" s="253"/>
      <c r="D9" s="253"/>
      <c r="E9" s="273"/>
      <c r="F9" s="253"/>
      <c r="G9" s="253"/>
      <c r="H9" s="253"/>
      <c r="I9" s="253"/>
      <c r="J9" s="253"/>
      <c r="K9" s="253"/>
      <c r="L9" s="253"/>
      <c r="M9" s="257"/>
      <c r="N9" s="256"/>
      <c r="O9" s="253"/>
      <c r="P9" s="253"/>
      <c r="Q9" s="265"/>
      <c r="R9" s="256"/>
    </row>
    <row r="10" spans="1:18" s="39" customFormat="1" ht="15">
      <c r="A10" s="253"/>
      <c r="B10" s="253"/>
      <c r="C10" s="253"/>
      <c r="D10" s="253"/>
      <c r="E10" s="273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57"/>
      <c r="N10" s="256"/>
      <c r="O10" s="253"/>
      <c r="P10" s="253"/>
      <c r="Q10" s="265"/>
      <c r="R10" s="256"/>
    </row>
    <row r="11" spans="1:18" s="39" customFormat="1" ht="15">
      <c r="A11" s="253"/>
      <c r="B11" s="253"/>
      <c r="C11" s="253"/>
      <c r="D11" s="253"/>
      <c r="E11" s="273"/>
      <c r="F11" s="253"/>
      <c r="G11" s="253"/>
      <c r="H11" s="253"/>
      <c r="I11" s="253"/>
      <c r="J11" s="253"/>
      <c r="K11" s="253"/>
      <c r="L11" s="253"/>
      <c r="M11" s="257"/>
      <c r="N11" s="256"/>
      <c r="O11" s="253"/>
      <c r="P11" s="253"/>
      <c r="Q11" s="265"/>
      <c r="R11" s="256"/>
    </row>
    <row r="12" spans="1:18" ht="15">
      <c r="A12" s="1">
        <f>IF(B12="","",SUBTOTAL(3,$B$12:B12))</f>
        <v>1</v>
      </c>
      <c r="B12" s="157" t="s">
        <v>919</v>
      </c>
      <c r="C12" s="10" t="str">
        <f>IF(B12="","",IF(ISNA(VLOOKUP($B12,'DANH SÁCH LỚP'!$B$2:$D$968,2,FALSE))=TRUE,"",VLOOKUP($B12,'DANH SÁCH LỚP'!$B$2:$D$968,2,FALSE)))</f>
        <v>Phan Thị Kiều</v>
      </c>
      <c r="D12" s="11" t="str">
        <f>IF(C12="","",IF(ISNA(VLOOKUP($B12,'DANH SÁCH LỚP'!$B$2:$D$968,3,FALSE))=TRUE,"",VLOOKUP($B12,'DANH SÁCH LỚP'!$B$2:$D$968,3,FALSE)))</f>
        <v>Anh</v>
      </c>
      <c r="E12" s="41"/>
      <c r="F12" s="41">
        <v>8</v>
      </c>
      <c r="G12" s="41"/>
      <c r="I12" s="41"/>
      <c r="J12" s="41">
        <v>6.5</v>
      </c>
      <c r="K12" s="41"/>
      <c r="L12" s="30">
        <f t="shared" ref="L12:L21" si="0">IF(OR(B12="",$C$6="",$J$6="",$I$120=""),"",IF(ISNUMBER(E12)=TRUE,"",IF((COUNT(F12:K12))=0,0,ROUND((SUM(F12:I12)+2*SUM(I12:K12))/(COUNT(F12:I12)+2*COUNT(I12:K12)),1))))</f>
        <v>7</v>
      </c>
      <c r="M12" s="76"/>
      <c r="N12" s="65" t="str">
        <f>IF(OR(B12="",$C$6="",$J$6="",$I$120=""),"",IF(OR(L12&lt;3,M12/($J$6*15)&gt;0.2),"Cấm thi",""))</f>
        <v/>
      </c>
      <c r="O12" s="41">
        <v>4.5</v>
      </c>
      <c r="P12" s="32">
        <f>IF(OR(B12="",$C$6="",$J$6="",$I$120=""),"",IF(ISNUMBER(E12)=TRUE,E12,ROUND((L12*0.4+O12*0.6),1)))</f>
        <v>5.5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923</v>
      </c>
      <c r="C13" s="10" t="str">
        <f>IF(B13="","",IF(ISNA(VLOOKUP($B13,'DANH SÁCH LỚP'!$B$2:$D$968,2,FALSE))=TRUE,"",VLOOKUP($B13,'DANH SÁCH LỚP'!$B$2:$D$968,2,FALSE)))</f>
        <v>Đặng Thị Hà</v>
      </c>
      <c r="D13" s="11" t="str">
        <f>IF(C13="","",IF(ISNA(VLOOKUP($B13,'DANH SÁCH LỚP'!$B$2:$D$968,3,FALSE))=TRUE,"",VLOOKUP($B13,'DANH SÁCH LỚP'!$B$2:$D$968,3,FALSE)))</f>
        <v>Nhi</v>
      </c>
      <c r="E13" s="41"/>
      <c r="F13" s="41">
        <v>8</v>
      </c>
      <c r="G13" s="41"/>
      <c r="I13" s="41"/>
      <c r="J13" s="41">
        <v>6</v>
      </c>
      <c r="K13" s="41"/>
      <c r="L13" s="30">
        <f t="shared" si="0"/>
        <v>6.7</v>
      </c>
      <c r="M13" s="76"/>
      <c r="N13" s="65" t="str">
        <f>IF(OR(B13="",$C$6="",$J$6="",$I$120=""),"",IF(OR(L13&lt;3,M13/($J$6*15)&gt;0.2),"Cấm thi",""))</f>
        <v/>
      </c>
      <c r="O13" s="41">
        <v>7</v>
      </c>
      <c r="P13" s="32">
        <f>IF(OR(B13="",$C$6="",$J$6="",$I$120=""),"",IF(ISNUMBER(E13)=TRUE,E13,ROUND((L13*0.4+O13*0.6),1)))</f>
        <v>6.9</v>
      </c>
      <c r="Q13" s="63" t="str">
        <f>IF(B13="","",IF(P13="","KXL",IF(P13&lt;4,"Kém",IF(P13&lt;5,"Yếu",IF(P13&lt;6,"TB",IF(P13&lt;7,"TBK",IF(P13&lt;8,"Khá",IF(P13&lt;9,"Giỏi","XS"))))))))</f>
        <v>TBK</v>
      </c>
      <c r="R13" s="65" t="str">
        <f>IF(OR(B13="",$C$6="",$J$6="",$I$120=""),"",IF(AND(O13&gt;=3,P13&gt;=5),"ĐẠT","KĐẠT"))</f>
        <v>ĐẠT</v>
      </c>
    </row>
    <row r="14" spans="1:18" ht="15">
      <c r="A14" s="1">
        <f>IF(B14="","",SUBTOTAL(3,$B$12:B14))</f>
        <v>3</v>
      </c>
      <c r="B14" s="157" t="s">
        <v>926</v>
      </c>
      <c r="C14" s="10" t="str">
        <f>IF(B14="","",IF(ISNA(VLOOKUP($B14,'DANH SÁCH LỚP'!$B$2:$D$968,2,FALSE))=TRUE,"",VLOOKUP($B14,'DANH SÁCH LỚP'!$B$2:$D$968,2,FALSE)))</f>
        <v>Trà</v>
      </c>
      <c r="D14" s="11" t="str">
        <f>IF(C14="","",IF(ISNA(VLOOKUP($B14,'DANH SÁCH LỚP'!$B$2:$D$968,3,FALSE))=TRUE,"",VLOOKUP($B14,'DANH SÁCH LỚP'!$B$2:$D$968,3,FALSE)))</f>
        <v>Ny</v>
      </c>
      <c r="E14" s="41"/>
      <c r="F14" s="41">
        <v>6</v>
      </c>
      <c r="G14" s="41"/>
      <c r="I14" s="41"/>
      <c r="J14" s="41">
        <v>6</v>
      </c>
      <c r="K14" s="41"/>
      <c r="L14" s="30">
        <f t="shared" si="0"/>
        <v>6</v>
      </c>
      <c r="M14" s="76"/>
      <c r="N14" s="65" t="str">
        <f>IF(OR(B14="",$C$6="",$J$6="",$I$120=""),"",IF(OR(L14&lt;3,M14/($J$6*15)&gt;0.2),"Cấm thi",""))</f>
        <v/>
      </c>
      <c r="O14" s="213">
        <v>0</v>
      </c>
      <c r="P14" s="32">
        <f>IF(OR(B14="",$C$6="",$J$6="",$I$120=""),"",IF(ISNUMBER(E14)=TRUE,E14,ROUND((L14*0.4+O14*0.6),1)))</f>
        <v>2.4</v>
      </c>
      <c r="Q14" s="63" t="str">
        <f t="shared" ref="Q14:Q77" si="1">IF(B14="","",IF(P14="","KXL",IF(P14&lt;4,"Kém",IF(P14&lt;5,"Yếu",IF(P14&lt;6,"TB",IF(P14&lt;7,"TBK",IF(P14&lt;8,"Khá",IF(P14&lt;9,"Giỏi","XS"))))))))</f>
        <v>Kém</v>
      </c>
      <c r="R14" s="65" t="str">
        <f t="shared" ref="R14:R77" si="2">IF(OR(B14="",$C$6="",$J$6="",$I$120=""),"",IF(AND(O14&gt;=3,P14&gt;=5),"ĐẠT","KĐẠT"))</f>
        <v>KĐẠT</v>
      </c>
    </row>
    <row r="15" spans="1:18" ht="15">
      <c r="A15" s="1">
        <f>IF(B15="","",SUBTOTAL(3,$B$12:B15))</f>
        <v>4</v>
      </c>
      <c r="B15" s="157" t="s">
        <v>930</v>
      </c>
      <c r="C15" s="10" t="str">
        <f>IF(B15="","",IF(ISNA(VLOOKUP($B15,'DANH SÁCH LỚP'!$B$2:$D$968,2,FALSE))=TRUE,"",VLOOKUP($B15,'DANH SÁCH LỚP'!$B$2:$D$968,2,FALSE)))</f>
        <v>Nguyễn Thị</v>
      </c>
      <c r="D15" s="11" t="str">
        <f>IF(C15="","",IF(ISNA(VLOOKUP($B15,'DANH SÁCH LỚP'!$B$2:$D$968,3,FALSE))=TRUE,"",VLOOKUP($B15,'DANH SÁCH LỚP'!$B$2:$D$968,3,FALSE)))</f>
        <v>Oanh</v>
      </c>
      <c r="E15" s="41"/>
      <c r="F15" s="41">
        <v>0</v>
      </c>
      <c r="G15" s="41"/>
      <c r="I15" s="41"/>
      <c r="J15" s="41">
        <v>0</v>
      </c>
      <c r="K15" s="41"/>
      <c r="L15" s="30">
        <f t="shared" si="0"/>
        <v>0</v>
      </c>
      <c r="M15" s="76"/>
      <c r="N15" s="65" t="str">
        <f t="shared" ref="N15:N78" si="3">IF(OR(B15="",$C$6="",$J$6="",$I$120=""),"",IF(OR(L15&lt;3,M15/($J$6*15)&gt;0.2),"Cấm thi",""))</f>
        <v>Cấm thi</v>
      </c>
      <c r="O15" s="213">
        <v>0</v>
      </c>
      <c r="P15" s="32">
        <f t="shared" ref="P15:P78" si="4">IF(OR(B15="",$C$6="",$J$6="",$I$120=""),"",IF(ISNUMBER(E15)=TRUE,E15,ROUND((L15*0.4+O15*0.6),1)))</f>
        <v>0</v>
      </c>
      <c r="Q15" s="63" t="str">
        <f t="shared" si="1"/>
        <v>Kém</v>
      </c>
      <c r="R15" s="65" t="str">
        <f t="shared" si="2"/>
        <v>KĐẠT</v>
      </c>
    </row>
    <row r="16" spans="1:18" ht="15">
      <c r="A16" s="1">
        <f>IF(B16="","",SUBTOTAL(3,$B$12:B16))</f>
        <v>5</v>
      </c>
      <c r="B16" s="157" t="s">
        <v>932</v>
      </c>
      <c r="C16" s="10" t="str">
        <f>IF(B16="","",IF(ISNA(VLOOKUP($B16,'DANH SÁCH LỚP'!$B$2:$D$968,2,FALSE))=TRUE,"",VLOOKUP($B16,'DANH SÁCH LỚP'!$B$2:$D$968,2,FALSE)))</f>
        <v>Phạm Thị Lệ</v>
      </c>
      <c r="D16" s="11" t="str">
        <f>IF(C16="","",IF(ISNA(VLOOKUP($B16,'DANH SÁCH LỚP'!$B$2:$D$968,3,FALSE))=TRUE,"",VLOOKUP($B16,'DANH SÁCH LỚP'!$B$2:$D$968,3,FALSE)))</f>
        <v>Phương</v>
      </c>
      <c r="E16" s="41"/>
      <c r="F16" s="41">
        <v>0</v>
      </c>
      <c r="G16" s="41"/>
      <c r="I16" s="41"/>
      <c r="J16" s="41">
        <v>0</v>
      </c>
      <c r="K16" s="41"/>
      <c r="L16" s="30">
        <f t="shared" si="0"/>
        <v>0</v>
      </c>
      <c r="M16" s="76"/>
      <c r="N16" s="65" t="str">
        <f t="shared" si="3"/>
        <v>Cấm thi</v>
      </c>
      <c r="O16" s="213">
        <v>0</v>
      </c>
      <c r="P16" s="32">
        <f t="shared" si="4"/>
        <v>0</v>
      </c>
      <c r="Q16" s="63" t="str">
        <f t="shared" si="1"/>
        <v>Kém</v>
      </c>
      <c r="R16" s="65" t="str">
        <f t="shared" si="2"/>
        <v>KĐẠT</v>
      </c>
    </row>
    <row r="17" spans="1:21" ht="15">
      <c r="A17" s="1">
        <f>IF(B17="","",SUBTOTAL(3,$B$12:B17))</f>
        <v>6</v>
      </c>
      <c r="B17" s="157" t="s">
        <v>936</v>
      </c>
      <c r="C17" s="10" t="str">
        <f>IF(B17="","",IF(ISNA(VLOOKUP($B17,'DANH SÁCH LỚP'!$B$2:$D$968,2,FALSE))=TRUE,"",VLOOKUP($B17,'DANH SÁCH LỚP'!$B$2:$D$968,2,FALSE)))</f>
        <v>Trần Thị Thu</v>
      </c>
      <c r="D17" s="11" t="str">
        <f>IF(C17="","",IF(ISNA(VLOOKUP($B17,'DANH SÁCH LỚP'!$B$2:$D$968,3,FALSE))=TRUE,"",VLOOKUP($B17,'DANH SÁCH LỚP'!$B$2:$D$968,3,FALSE)))</f>
        <v>Thủy</v>
      </c>
      <c r="E17" s="41"/>
      <c r="F17" s="41">
        <v>8</v>
      </c>
      <c r="G17" s="41"/>
      <c r="I17" s="41"/>
      <c r="J17" s="41">
        <v>7</v>
      </c>
      <c r="K17" s="41"/>
      <c r="L17" s="30">
        <f t="shared" si="0"/>
        <v>7.3</v>
      </c>
      <c r="M17" s="76"/>
      <c r="N17" s="65" t="str">
        <f t="shared" si="3"/>
        <v/>
      </c>
      <c r="O17" s="213">
        <v>6</v>
      </c>
      <c r="P17" s="32">
        <f t="shared" si="4"/>
        <v>6.5</v>
      </c>
      <c r="Q17" s="63" t="str">
        <f t="shared" si="1"/>
        <v>TBK</v>
      </c>
      <c r="R17" s="65" t="str">
        <f t="shared" si="2"/>
        <v>ĐẠT</v>
      </c>
    </row>
    <row r="18" spans="1:21" ht="15">
      <c r="A18" s="1">
        <f>IF(B18="","",SUBTOTAL(3,$B$12:B18))</f>
        <v>7</v>
      </c>
      <c r="B18" s="157" t="s">
        <v>939</v>
      </c>
      <c r="C18" s="10" t="str">
        <f>IF(B18="","",IF(ISNA(VLOOKUP($B18,'DANH SÁCH LỚP'!$B$2:$D$968,2,FALSE))=TRUE,"",VLOOKUP($B18,'DANH SÁCH LỚP'!$B$2:$D$968,2,FALSE)))</f>
        <v>Bùi Thị Kim</v>
      </c>
      <c r="D18" s="11" t="str">
        <f>IF(C18="","",IF(ISNA(VLOOKUP($B18,'DANH SÁCH LỚP'!$B$2:$D$968,3,FALSE))=TRUE,"",VLOOKUP($B18,'DANH SÁCH LỚP'!$B$2:$D$968,3,FALSE)))</f>
        <v>Nhung</v>
      </c>
      <c r="E18" s="41"/>
      <c r="F18" s="41">
        <v>8</v>
      </c>
      <c r="G18" s="41"/>
      <c r="I18" s="41"/>
      <c r="J18" s="41">
        <v>6.7</v>
      </c>
      <c r="K18" s="41"/>
      <c r="L18" s="30">
        <f t="shared" si="0"/>
        <v>7.1</v>
      </c>
      <c r="M18" s="76"/>
      <c r="N18" s="65" t="str">
        <f t="shared" si="3"/>
        <v/>
      </c>
      <c r="O18" s="213">
        <v>7</v>
      </c>
      <c r="P18" s="32">
        <f t="shared" si="4"/>
        <v>7</v>
      </c>
      <c r="Q18" s="63" t="str">
        <f t="shared" si="1"/>
        <v>Khá</v>
      </c>
      <c r="R18" s="65" t="str">
        <f t="shared" si="2"/>
        <v>ĐẠT</v>
      </c>
    </row>
    <row r="19" spans="1:21" ht="15">
      <c r="A19" s="1">
        <f>IF(B19="","",SUBTOTAL(3,$B$12:B19))</f>
        <v>8</v>
      </c>
      <c r="B19" s="157" t="s">
        <v>943</v>
      </c>
      <c r="C19" s="10" t="str">
        <f>IF(B19="","",IF(ISNA(VLOOKUP($B19,'DANH SÁCH LỚP'!$B$2:$D$968,2,FALSE))=TRUE,"",VLOOKUP($B19,'DANH SÁCH LỚP'!$B$2:$D$968,2,FALSE)))</f>
        <v>Nguyễn Thị Ái</v>
      </c>
      <c r="D19" s="11" t="str">
        <f>IF(C19="","",IF(ISNA(VLOOKUP($B19,'DANH SÁCH LỚP'!$B$2:$D$968,3,FALSE))=TRUE,"",VLOOKUP($B19,'DANH SÁCH LỚP'!$B$2:$D$968,3,FALSE)))</f>
        <v>Thắm</v>
      </c>
      <c r="E19" s="41"/>
      <c r="F19" s="41">
        <v>8</v>
      </c>
      <c r="G19" s="41"/>
      <c r="I19" s="41"/>
      <c r="J19" s="41">
        <v>7.2</v>
      </c>
      <c r="K19" s="41"/>
      <c r="L19" s="30">
        <f t="shared" si="0"/>
        <v>7.5</v>
      </c>
      <c r="M19" s="76"/>
      <c r="N19" s="65" t="str">
        <f t="shared" si="3"/>
        <v/>
      </c>
      <c r="O19" s="213">
        <v>6</v>
      </c>
      <c r="P19" s="32">
        <f t="shared" si="4"/>
        <v>6.6</v>
      </c>
      <c r="Q19" s="63" t="str">
        <f t="shared" si="1"/>
        <v>TBK</v>
      </c>
      <c r="R19" s="65" t="str">
        <f t="shared" si="2"/>
        <v>ĐẠT</v>
      </c>
      <c r="U19" s="3" t="s">
        <v>1167</v>
      </c>
    </row>
    <row r="20" spans="1:21" ht="15">
      <c r="A20" s="1">
        <f>IF(B20="","",SUBTOTAL(3,$B$12:B20))</f>
        <v>9</v>
      </c>
      <c r="B20" s="157" t="s">
        <v>946</v>
      </c>
      <c r="C20" s="10" t="str">
        <f>IF(B20="","",IF(ISNA(VLOOKUP($B20,'DANH SÁCH LỚP'!$B$2:$D$968,2,FALSE))=TRUE,"",VLOOKUP($B20,'DANH SÁCH LỚP'!$B$2:$D$968,2,FALSE)))</f>
        <v>Trần Nguyễn Xuân</v>
      </c>
      <c r="D20" s="11" t="str">
        <f>IF(C20="","",IF(ISNA(VLOOKUP($B20,'DANH SÁCH LỚP'!$B$2:$D$968,3,FALSE))=TRUE,"",VLOOKUP($B20,'DANH SÁCH LỚP'!$B$2:$D$968,3,FALSE)))</f>
        <v>Thảo</v>
      </c>
      <c r="E20" s="41"/>
      <c r="F20" s="41">
        <v>8</v>
      </c>
      <c r="G20" s="41"/>
      <c r="I20" s="41"/>
      <c r="J20" s="41">
        <v>7.2</v>
      </c>
      <c r="K20" s="41"/>
      <c r="L20" s="30">
        <f t="shared" si="0"/>
        <v>7.5</v>
      </c>
      <c r="M20" s="76"/>
      <c r="N20" s="65" t="str">
        <f t="shared" si="3"/>
        <v/>
      </c>
      <c r="O20" s="213">
        <v>6</v>
      </c>
      <c r="P20" s="32">
        <f t="shared" si="4"/>
        <v>6.6</v>
      </c>
      <c r="Q20" s="63" t="str">
        <f t="shared" si="1"/>
        <v>TBK</v>
      </c>
      <c r="R20" s="65" t="str">
        <f t="shared" si="2"/>
        <v>ĐẠT</v>
      </c>
    </row>
    <row r="21" spans="1:21" ht="15">
      <c r="A21" s="1">
        <f>IF(B21="","",SUBTOTAL(3,$B$12:B21))</f>
        <v>10</v>
      </c>
      <c r="B21" s="157" t="s">
        <v>949</v>
      </c>
      <c r="C21" s="10" t="str">
        <f>IF(B21="","",IF(ISNA(VLOOKUP($B21,'DANH SÁCH LỚP'!$B$2:$D$968,2,FALSE))=TRUE,"",VLOOKUP($B21,'DANH SÁCH LỚP'!$B$2:$D$968,2,FALSE)))</f>
        <v>Nguyễn Thanh</v>
      </c>
      <c r="D21" s="11" t="str">
        <f>IF(C21="","",IF(ISNA(VLOOKUP($B21,'DANH SÁCH LỚP'!$B$2:$D$968,3,FALSE))=TRUE,"",VLOOKUP($B21,'DANH SÁCH LỚP'!$B$2:$D$968,3,FALSE)))</f>
        <v>Thúy</v>
      </c>
      <c r="E21" s="41"/>
      <c r="F21" s="41">
        <v>0</v>
      </c>
      <c r="G21" s="41"/>
      <c r="I21" s="41"/>
      <c r="J21" s="41">
        <v>0</v>
      </c>
      <c r="K21" s="41"/>
      <c r="L21" s="30">
        <f t="shared" si="0"/>
        <v>0</v>
      </c>
      <c r="M21" s="76"/>
      <c r="N21" s="65" t="str">
        <f t="shared" si="3"/>
        <v>Cấm thi</v>
      </c>
      <c r="O21" s="213">
        <v>0</v>
      </c>
      <c r="P21" s="32">
        <f t="shared" si="4"/>
        <v>0</v>
      </c>
      <c r="Q21" s="63" t="str">
        <f t="shared" si="1"/>
        <v>Kém</v>
      </c>
      <c r="R21" s="65" t="str">
        <f t="shared" si="2"/>
        <v>KĐẠT</v>
      </c>
    </row>
    <row r="22" spans="1:21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ref="L22:L78" si="5">IF(OR(B22="",$C$6="",$J$6="",$I$120=""),"",IF(ISNUMBER(E22)=TRUE,"",IF((COUNT(F22:K22))=0,0,ROUND((SUM(F22:H22)+2*SUM(I22:K22))/(COUNT(F22:H22)+2*COUNT(I22:K22)),1))))</f>
        <v/>
      </c>
      <c r="M22" s="76"/>
      <c r="N22" s="65" t="str">
        <f t="shared" si="3"/>
        <v/>
      </c>
      <c r="O22" s="213"/>
      <c r="P22" s="32" t="str">
        <f t="shared" si="4"/>
        <v/>
      </c>
      <c r="Q22" s="63" t="str">
        <f t="shared" si="1"/>
        <v/>
      </c>
      <c r="R22" s="65" t="str">
        <f t="shared" si="2"/>
        <v/>
      </c>
    </row>
    <row r="23" spans="1:21" ht="0.75" customHeight="1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5"/>
        <v/>
      </c>
      <c r="M23" s="76"/>
      <c r="N23" s="65" t="str">
        <f t="shared" si="3"/>
        <v/>
      </c>
      <c r="O23" s="213"/>
      <c r="P23" s="32" t="str">
        <f t="shared" si="4"/>
        <v/>
      </c>
      <c r="Q23" s="63" t="str">
        <f t="shared" si="1"/>
        <v/>
      </c>
      <c r="R23" s="65" t="str">
        <f t="shared" si="2"/>
        <v/>
      </c>
    </row>
    <row r="24" spans="1:21" ht="15" hidden="1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5"/>
        <v/>
      </c>
      <c r="M24" s="76"/>
      <c r="N24" s="65" t="str">
        <f t="shared" si="3"/>
        <v/>
      </c>
      <c r="O24" s="213"/>
      <c r="P24" s="32" t="str">
        <f t="shared" si="4"/>
        <v/>
      </c>
      <c r="Q24" s="63" t="str">
        <f t="shared" si="1"/>
        <v/>
      </c>
      <c r="R24" s="65" t="str">
        <f t="shared" si="2"/>
        <v/>
      </c>
    </row>
    <row r="25" spans="1:21" ht="15" hidden="1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5"/>
        <v/>
      </c>
      <c r="M25" s="76"/>
      <c r="N25" s="65" t="str">
        <f t="shared" si="3"/>
        <v/>
      </c>
      <c r="O25" s="213"/>
      <c r="P25" s="32" t="str">
        <f t="shared" si="4"/>
        <v/>
      </c>
      <c r="Q25" s="63" t="str">
        <f t="shared" si="1"/>
        <v/>
      </c>
      <c r="R25" s="65" t="str">
        <f t="shared" si="2"/>
        <v/>
      </c>
    </row>
    <row r="26" spans="1:21" ht="15" hidden="1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5"/>
        <v/>
      </c>
      <c r="M26" s="76"/>
      <c r="N26" s="65" t="str">
        <f t="shared" si="3"/>
        <v/>
      </c>
      <c r="O26" s="213"/>
      <c r="P26" s="32" t="str">
        <f t="shared" si="4"/>
        <v/>
      </c>
      <c r="Q26" s="63" t="str">
        <f t="shared" si="1"/>
        <v/>
      </c>
      <c r="R26" s="65" t="str">
        <f t="shared" si="2"/>
        <v/>
      </c>
    </row>
    <row r="27" spans="1:21" ht="15" hidden="1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5"/>
        <v/>
      </c>
      <c r="M27" s="76"/>
      <c r="N27" s="65" t="str">
        <f t="shared" si="3"/>
        <v/>
      </c>
      <c r="O27" s="213"/>
      <c r="P27" s="32" t="str">
        <f t="shared" si="4"/>
        <v/>
      </c>
      <c r="Q27" s="63" t="str">
        <f t="shared" si="1"/>
        <v/>
      </c>
      <c r="R27" s="65" t="str">
        <f t="shared" si="2"/>
        <v/>
      </c>
    </row>
    <row r="28" spans="1:21" ht="15" hidden="1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5"/>
        <v/>
      </c>
      <c r="M28" s="76"/>
      <c r="N28" s="65" t="str">
        <f t="shared" si="3"/>
        <v/>
      </c>
      <c r="O28" s="213"/>
      <c r="P28" s="32" t="str">
        <f t="shared" si="4"/>
        <v/>
      </c>
      <c r="Q28" s="63" t="str">
        <f t="shared" si="1"/>
        <v/>
      </c>
      <c r="R28" s="65" t="str">
        <f t="shared" si="2"/>
        <v/>
      </c>
    </row>
    <row r="29" spans="1:21" ht="15" hidden="1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5"/>
        <v/>
      </c>
      <c r="M29" s="76"/>
      <c r="N29" s="65" t="str">
        <f t="shared" si="3"/>
        <v/>
      </c>
      <c r="O29" s="213"/>
      <c r="P29" s="32" t="str">
        <f t="shared" si="4"/>
        <v/>
      </c>
      <c r="Q29" s="63" t="str">
        <f t="shared" si="1"/>
        <v/>
      </c>
      <c r="R29" s="65" t="str">
        <f t="shared" si="2"/>
        <v/>
      </c>
    </row>
    <row r="30" spans="1:21" ht="14.25" hidden="1" customHeight="1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5"/>
        <v/>
      </c>
      <c r="M30" s="76"/>
      <c r="N30" s="65" t="str">
        <f t="shared" si="3"/>
        <v/>
      </c>
      <c r="O30" s="213"/>
      <c r="P30" s="32" t="str">
        <f t="shared" si="4"/>
        <v/>
      </c>
      <c r="Q30" s="63" t="str">
        <f t="shared" si="1"/>
        <v/>
      </c>
      <c r="R30" s="65" t="str">
        <f t="shared" si="2"/>
        <v/>
      </c>
    </row>
    <row r="31" spans="1:21" ht="15" hidden="1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5"/>
        <v/>
      </c>
      <c r="M31" s="76"/>
      <c r="N31" s="65" t="str">
        <f t="shared" si="3"/>
        <v/>
      </c>
      <c r="O31" s="213"/>
      <c r="P31" s="32" t="str">
        <f t="shared" si="4"/>
        <v/>
      </c>
      <c r="Q31" s="63" t="str">
        <f t="shared" si="1"/>
        <v/>
      </c>
      <c r="R31" s="65" t="str">
        <f t="shared" si="2"/>
        <v/>
      </c>
    </row>
    <row r="32" spans="1:21" ht="15" hidden="1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5"/>
        <v/>
      </c>
      <c r="M32" s="76"/>
      <c r="N32" s="65" t="str">
        <f t="shared" si="3"/>
        <v/>
      </c>
      <c r="O32" s="41"/>
      <c r="P32" s="32" t="str">
        <f t="shared" si="4"/>
        <v/>
      </c>
      <c r="Q32" s="63" t="str">
        <f t="shared" si="1"/>
        <v/>
      </c>
      <c r="R32" s="65" t="str">
        <f t="shared" si="2"/>
        <v/>
      </c>
    </row>
    <row r="33" spans="1:18" ht="15" hidden="1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5"/>
        <v/>
      </c>
      <c r="M33" s="76"/>
      <c r="N33" s="65" t="str">
        <f t="shared" si="3"/>
        <v/>
      </c>
      <c r="O33" s="41"/>
      <c r="P33" s="32" t="str">
        <f t="shared" si="4"/>
        <v/>
      </c>
      <c r="Q33" s="63" t="str">
        <f t="shared" si="1"/>
        <v/>
      </c>
      <c r="R33" s="65" t="str">
        <f t="shared" si="2"/>
        <v/>
      </c>
    </row>
    <row r="34" spans="1:18" ht="15" hidden="1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5"/>
        <v/>
      </c>
      <c r="M34" s="76"/>
      <c r="N34" s="65" t="str">
        <f t="shared" si="3"/>
        <v/>
      </c>
      <c r="O34" s="41"/>
      <c r="P34" s="32" t="str">
        <f t="shared" si="4"/>
        <v/>
      </c>
      <c r="Q34" s="63" t="str">
        <f t="shared" si="1"/>
        <v/>
      </c>
      <c r="R34" s="65" t="str">
        <f t="shared" si="2"/>
        <v/>
      </c>
    </row>
    <row r="35" spans="1:18" ht="15" hidden="1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5"/>
        <v/>
      </c>
      <c r="M35" s="76"/>
      <c r="N35" s="65" t="str">
        <f t="shared" si="3"/>
        <v/>
      </c>
      <c r="O35" s="41"/>
      <c r="P35" s="32" t="str">
        <f t="shared" si="4"/>
        <v/>
      </c>
      <c r="Q35" s="63" t="str">
        <f t="shared" si="1"/>
        <v/>
      </c>
      <c r="R35" s="65" t="str">
        <f t="shared" si="2"/>
        <v/>
      </c>
    </row>
    <row r="36" spans="1:18" ht="15" hidden="1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5"/>
        <v/>
      </c>
      <c r="M36" s="76"/>
      <c r="N36" s="65" t="str">
        <f t="shared" si="3"/>
        <v/>
      </c>
      <c r="O36" s="41"/>
      <c r="P36" s="32" t="str">
        <f t="shared" si="4"/>
        <v/>
      </c>
      <c r="Q36" s="63" t="str">
        <f t="shared" si="1"/>
        <v/>
      </c>
      <c r="R36" s="65" t="str">
        <f t="shared" si="2"/>
        <v/>
      </c>
    </row>
    <row r="37" spans="1:18" ht="15" hidden="1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5"/>
        <v/>
      </c>
      <c r="M37" s="76"/>
      <c r="N37" s="65" t="str">
        <f t="shared" si="3"/>
        <v/>
      </c>
      <c r="O37" s="41"/>
      <c r="P37" s="32" t="str">
        <f t="shared" si="4"/>
        <v/>
      </c>
      <c r="Q37" s="63" t="str">
        <f t="shared" si="1"/>
        <v/>
      </c>
      <c r="R37" s="65" t="str">
        <f t="shared" si="2"/>
        <v/>
      </c>
    </row>
    <row r="38" spans="1:18" ht="15" hidden="1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5"/>
        <v/>
      </c>
      <c r="M38" s="76"/>
      <c r="N38" s="65" t="str">
        <f t="shared" si="3"/>
        <v/>
      </c>
      <c r="O38" s="41"/>
      <c r="P38" s="32" t="str">
        <f t="shared" si="4"/>
        <v/>
      </c>
      <c r="Q38" s="63" t="str">
        <f t="shared" si="1"/>
        <v/>
      </c>
      <c r="R38" s="65" t="str">
        <f t="shared" si="2"/>
        <v/>
      </c>
    </row>
    <row r="39" spans="1:18" ht="15" hidden="1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5"/>
        <v/>
      </c>
      <c r="M39" s="76"/>
      <c r="N39" s="65" t="str">
        <f t="shared" si="3"/>
        <v/>
      </c>
      <c r="O39" s="41"/>
      <c r="P39" s="32" t="str">
        <f t="shared" si="4"/>
        <v/>
      </c>
      <c r="Q39" s="63" t="str">
        <f t="shared" si="1"/>
        <v/>
      </c>
      <c r="R39" s="65" t="str">
        <f t="shared" si="2"/>
        <v/>
      </c>
    </row>
    <row r="40" spans="1:18" ht="15" hidden="1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5"/>
        <v/>
      </c>
      <c r="M40" s="76"/>
      <c r="N40" s="65" t="str">
        <f t="shared" si="3"/>
        <v/>
      </c>
      <c r="O40" s="41"/>
      <c r="P40" s="32" t="str">
        <f t="shared" si="4"/>
        <v/>
      </c>
      <c r="Q40" s="63" t="str">
        <f t="shared" si="1"/>
        <v/>
      </c>
      <c r="R40" s="65" t="str">
        <f t="shared" si="2"/>
        <v/>
      </c>
    </row>
    <row r="41" spans="1:18" ht="15" hidden="1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5"/>
        <v/>
      </c>
      <c r="M41" s="76"/>
      <c r="N41" s="65" t="str">
        <f t="shared" si="3"/>
        <v/>
      </c>
      <c r="O41" s="41"/>
      <c r="P41" s="32" t="str">
        <f t="shared" si="4"/>
        <v/>
      </c>
      <c r="Q41" s="63" t="str">
        <f t="shared" si="1"/>
        <v/>
      </c>
      <c r="R41" s="65" t="str">
        <f t="shared" si="2"/>
        <v/>
      </c>
    </row>
    <row r="42" spans="1:18" ht="15" hidden="1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5"/>
        <v/>
      </c>
      <c r="M42" s="76"/>
      <c r="N42" s="65" t="str">
        <f t="shared" si="3"/>
        <v/>
      </c>
      <c r="O42" s="41"/>
      <c r="P42" s="32" t="str">
        <f t="shared" si="4"/>
        <v/>
      </c>
      <c r="Q42" s="63" t="str">
        <f t="shared" si="1"/>
        <v/>
      </c>
      <c r="R42" s="65" t="str">
        <f t="shared" si="2"/>
        <v/>
      </c>
    </row>
    <row r="43" spans="1:18" ht="15" hidden="1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5"/>
        <v/>
      </c>
      <c r="M43" s="76"/>
      <c r="N43" s="65" t="str">
        <f t="shared" si="3"/>
        <v/>
      </c>
      <c r="O43" s="41"/>
      <c r="P43" s="32" t="str">
        <f t="shared" si="4"/>
        <v/>
      </c>
      <c r="Q43" s="63" t="str">
        <f t="shared" si="1"/>
        <v/>
      </c>
      <c r="R43" s="65" t="str">
        <f t="shared" si="2"/>
        <v/>
      </c>
    </row>
    <row r="44" spans="1:18" ht="15" hidden="1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5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1"/>
        <v/>
      </c>
      <c r="R44" s="65" t="str">
        <f t="shared" si="2"/>
        <v/>
      </c>
    </row>
    <row r="45" spans="1:18" ht="15" hidden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5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1"/>
        <v/>
      </c>
      <c r="R45" s="65" t="str">
        <f t="shared" si="2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5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1"/>
        <v/>
      </c>
      <c r="R46" s="65" t="str">
        <f t="shared" si="2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5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1"/>
        <v/>
      </c>
      <c r="R47" s="65" t="str">
        <f t="shared" si="2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5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1"/>
        <v/>
      </c>
      <c r="R48" s="65" t="str">
        <f t="shared" si="2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5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1"/>
        <v/>
      </c>
      <c r="R49" s="65" t="str">
        <f t="shared" si="2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5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1"/>
        <v/>
      </c>
      <c r="R50" s="65" t="str">
        <f t="shared" si="2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5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1"/>
        <v/>
      </c>
      <c r="R51" s="65" t="str">
        <f t="shared" si="2"/>
        <v/>
      </c>
    </row>
    <row r="52" spans="1:18" ht="15" hidden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5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1"/>
        <v/>
      </c>
      <c r="R52" s="65" t="str">
        <f t="shared" si="2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5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1"/>
        <v/>
      </c>
      <c r="R53" s="65" t="str">
        <f t="shared" si="2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5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1"/>
        <v/>
      </c>
      <c r="R54" s="65" t="str">
        <f t="shared" si="2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5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1"/>
        <v/>
      </c>
      <c r="R55" s="65" t="str">
        <f t="shared" si="2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5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1"/>
        <v/>
      </c>
      <c r="R56" s="65" t="str">
        <f t="shared" si="2"/>
        <v/>
      </c>
    </row>
    <row r="57" spans="1:18" ht="10.5" hidden="1" customHeight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5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1"/>
        <v/>
      </c>
      <c r="R57" s="65" t="str">
        <f t="shared" si="2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5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1"/>
        <v/>
      </c>
      <c r="R58" s="65" t="str">
        <f t="shared" si="2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5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1"/>
        <v/>
      </c>
      <c r="R59" s="65" t="str">
        <f t="shared" si="2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5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1"/>
        <v/>
      </c>
      <c r="R60" s="65" t="str">
        <f t="shared" si="2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5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1"/>
        <v/>
      </c>
      <c r="R61" s="65" t="str">
        <f t="shared" si="2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5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1"/>
        <v/>
      </c>
      <c r="R62" s="65" t="str">
        <f t="shared" si="2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5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1"/>
        <v/>
      </c>
      <c r="R63" s="65" t="str">
        <f t="shared" si="2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5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1"/>
        <v/>
      </c>
      <c r="R64" s="65" t="str">
        <f t="shared" si="2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5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1"/>
        <v/>
      </c>
      <c r="R65" s="65" t="str">
        <f t="shared" si="2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5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1"/>
        <v/>
      </c>
      <c r="R66" s="65" t="str">
        <f t="shared" si="2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5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1"/>
        <v/>
      </c>
      <c r="R67" s="65" t="str">
        <f t="shared" si="2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5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1"/>
        <v/>
      </c>
      <c r="R68" s="65" t="str">
        <f t="shared" si="2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5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1"/>
        <v/>
      </c>
      <c r="R69" s="65" t="str">
        <f t="shared" si="2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5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1"/>
        <v/>
      </c>
      <c r="R70" s="65" t="str">
        <f t="shared" si="2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5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1"/>
        <v/>
      </c>
      <c r="R71" s="65" t="str">
        <f t="shared" si="2"/>
        <v/>
      </c>
    </row>
    <row r="72" spans="1:18" ht="0.75" hidden="1" customHeight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5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1"/>
        <v/>
      </c>
      <c r="R72" s="65" t="str">
        <f t="shared" si="2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5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1"/>
        <v/>
      </c>
      <c r="R73" s="65" t="str">
        <f t="shared" si="2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5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1"/>
        <v/>
      </c>
      <c r="R74" s="65" t="str">
        <f t="shared" si="2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5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1"/>
        <v/>
      </c>
      <c r="R75" s="65" t="str">
        <f t="shared" si="2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5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1"/>
        <v/>
      </c>
      <c r="R76" s="65" t="str">
        <f t="shared" si="2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5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1"/>
        <v/>
      </c>
      <c r="R77" s="65" t="str">
        <f t="shared" si="2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5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6">IF(B78="","",IF(P78="","KXL",IF(P78&lt;4,"Kém",IF(P78&lt;5,"Yếu",IF(P78&lt;6,"TB",IF(P78&lt;7,"TBK",IF(P78&lt;8,"Khá",IF(P78&lt;9,"Giỏi","XS"))))))))</f>
        <v/>
      </c>
      <c r="R78" s="65" t="str">
        <f t="shared" ref="R78:R101" si="7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8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9">IF(OR(B79="",$C$6="",$J$6="",$I$120=""),"",IF(OR(L79&lt;3,M79/($J$6*15)&gt;0.2),"Cấm thi",""))</f>
        <v/>
      </c>
      <c r="O79" s="41"/>
      <c r="P79" s="32" t="str">
        <f t="shared" ref="P79:P101" si="10">IF(OR(B79="",$C$6="",$J$6="",$I$120=""),"",IF(ISNUMBER(E79)=TRUE,E79,ROUND((L79*0.4+O79*0.6),1)))</f>
        <v/>
      </c>
      <c r="Q79" s="63" t="str">
        <f t="shared" si="6"/>
        <v/>
      </c>
      <c r="R79" s="65" t="str">
        <f t="shared" si="7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8"/>
        <v/>
      </c>
      <c r="M80" s="76"/>
      <c r="N80" s="65" t="str">
        <f t="shared" si="9"/>
        <v/>
      </c>
      <c r="O80" s="41"/>
      <c r="P80" s="32" t="str">
        <f t="shared" si="10"/>
        <v/>
      </c>
      <c r="Q80" s="63" t="str">
        <f t="shared" si="6"/>
        <v/>
      </c>
      <c r="R80" s="65" t="str">
        <f t="shared" si="7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8"/>
        <v/>
      </c>
      <c r="M81" s="76"/>
      <c r="N81" s="65" t="str">
        <f t="shared" si="9"/>
        <v/>
      </c>
      <c r="O81" s="41"/>
      <c r="P81" s="32" t="str">
        <f t="shared" si="10"/>
        <v/>
      </c>
      <c r="Q81" s="63" t="str">
        <f t="shared" si="6"/>
        <v/>
      </c>
      <c r="R81" s="65" t="str">
        <f t="shared" si="7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8"/>
        <v/>
      </c>
      <c r="M82" s="76"/>
      <c r="N82" s="65" t="str">
        <f t="shared" si="9"/>
        <v/>
      </c>
      <c r="O82" s="41"/>
      <c r="P82" s="32" t="str">
        <f t="shared" si="10"/>
        <v/>
      </c>
      <c r="Q82" s="63" t="str">
        <f t="shared" si="6"/>
        <v/>
      </c>
      <c r="R82" s="65" t="str">
        <f t="shared" si="7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8"/>
        <v/>
      </c>
      <c r="M83" s="76"/>
      <c r="N83" s="65" t="str">
        <f t="shared" si="9"/>
        <v/>
      </c>
      <c r="O83" s="41"/>
      <c r="P83" s="32" t="str">
        <f t="shared" si="10"/>
        <v/>
      </c>
      <c r="Q83" s="63" t="str">
        <f t="shared" si="6"/>
        <v/>
      </c>
      <c r="R83" s="65" t="str">
        <f t="shared" si="7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8"/>
        <v/>
      </c>
      <c r="M84" s="76"/>
      <c r="N84" s="65" t="str">
        <f t="shared" si="9"/>
        <v/>
      </c>
      <c r="O84" s="41"/>
      <c r="P84" s="32" t="str">
        <f t="shared" si="10"/>
        <v/>
      </c>
      <c r="Q84" s="63" t="str">
        <f t="shared" si="6"/>
        <v/>
      </c>
      <c r="R84" s="65" t="str">
        <f t="shared" si="7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8"/>
        <v/>
      </c>
      <c r="M85" s="76"/>
      <c r="N85" s="65" t="str">
        <f t="shared" si="9"/>
        <v/>
      </c>
      <c r="O85" s="41"/>
      <c r="P85" s="32" t="str">
        <f t="shared" si="10"/>
        <v/>
      </c>
      <c r="Q85" s="63" t="str">
        <f t="shared" si="6"/>
        <v/>
      </c>
      <c r="R85" s="65" t="str">
        <f t="shared" si="7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8"/>
        <v/>
      </c>
      <c r="M86" s="76"/>
      <c r="N86" s="65" t="str">
        <f t="shared" si="9"/>
        <v/>
      </c>
      <c r="O86" s="41"/>
      <c r="P86" s="32" t="str">
        <f t="shared" si="10"/>
        <v/>
      </c>
      <c r="Q86" s="63" t="str">
        <f t="shared" si="6"/>
        <v/>
      </c>
      <c r="R86" s="65" t="str">
        <f t="shared" si="7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8"/>
        <v/>
      </c>
      <c r="M87" s="76"/>
      <c r="N87" s="65" t="str">
        <f t="shared" si="9"/>
        <v/>
      </c>
      <c r="O87" s="41"/>
      <c r="P87" s="32" t="str">
        <f t="shared" si="10"/>
        <v/>
      </c>
      <c r="Q87" s="63" t="str">
        <f t="shared" si="6"/>
        <v/>
      </c>
      <c r="R87" s="65" t="str">
        <f t="shared" si="7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8"/>
        <v/>
      </c>
      <c r="M88" s="76"/>
      <c r="N88" s="65" t="str">
        <f t="shared" si="9"/>
        <v/>
      </c>
      <c r="O88" s="41"/>
      <c r="P88" s="32" t="str">
        <f t="shared" si="10"/>
        <v/>
      </c>
      <c r="Q88" s="63" t="str">
        <f t="shared" si="6"/>
        <v/>
      </c>
      <c r="R88" s="65" t="str">
        <f t="shared" si="7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8"/>
        <v/>
      </c>
      <c r="M89" s="76"/>
      <c r="N89" s="65" t="str">
        <f t="shared" si="9"/>
        <v/>
      </c>
      <c r="O89" s="41"/>
      <c r="P89" s="32" t="str">
        <f t="shared" si="10"/>
        <v/>
      </c>
      <c r="Q89" s="63" t="str">
        <f t="shared" si="6"/>
        <v/>
      </c>
      <c r="R89" s="65" t="str">
        <f t="shared" si="7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8"/>
        <v/>
      </c>
      <c r="M90" s="76"/>
      <c r="N90" s="65" t="str">
        <f t="shared" si="9"/>
        <v/>
      </c>
      <c r="O90" s="41"/>
      <c r="P90" s="32" t="str">
        <f t="shared" si="10"/>
        <v/>
      </c>
      <c r="Q90" s="63" t="str">
        <f t="shared" si="6"/>
        <v/>
      </c>
      <c r="R90" s="65" t="str">
        <f t="shared" si="7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8"/>
        <v/>
      </c>
      <c r="M91" s="76"/>
      <c r="N91" s="65" t="str">
        <f t="shared" si="9"/>
        <v/>
      </c>
      <c r="O91" s="41"/>
      <c r="P91" s="32" t="str">
        <f t="shared" si="10"/>
        <v/>
      </c>
      <c r="Q91" s="63" t="str">
        <f t="shared" si="6"/>
        <v/>
      </c>
      <c r="R91" s="65" t="str">
        <f t="shared" si="7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8"/>
        <v/>
      </c>
      <c r="M92" s="76"/>
      <c r="N92" s="65" t="str">
        <f t="shared" si="9"/>
        <v/>
      </c>
      <c r="O92" s="41"/>
      <c r="P92" s="32" t="str">
        <f t="shared" si="10"/>
        <v/>
      </c>
      <c r="Q92" s="63" t="str">
        <f t="shared" si="6"/>
        <v/>
      </c>
      <c r="R92" s="65" t="str">
        <f t="shared" si="7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8"/>
        <v/>
      </c>
      <c r="M93" s="76"/>
      <c r="N93" s="65" t="str">
        <f t="shared" si="9"/>
        <v/>
      </c>
      <c r="O93" s="41"/>
      <c r="P93" s="32" t="str">
        <f t="shared" si="10"/>
        <v/>
      </c>
      <c r="Q93" s="63" t="str">
        <f t="shared" si="6"/>
        <v/>
      </c>
      <c r="R93" s="65" t="str">
        <f t="shared" si="7"/>
        <v/>
      </c>
    </row>
    <row r="94" spans="1:18" ht="4.5" hidden="1" customHeight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8"/>
        <v/>
      </c>
      <c r="M94" s="76"/>
      <c r="N94" s="65" t="str">
        <f t="shared" si="9"/>
        <v/>
      </c>
      <c r="O94" s="41"/>
      <c r="P94" s="32" t="str">
        <f t="shared" si="10"/>
        <v/>
      </c>
      <c r="Q94" s="63" t="str">
        <f t="shared" si="6"/>
        <v/>
      </c>
      <c r="R94" s="65" t="str">
        <f t="shared" si="7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8"/>
        <v/>
      </c>
      <c r="M95" s="76"/>
      <c r="N95" s="65" t="str">
        <f t="shared" si="9"/>
        <v/>
      </c>
      <c r="O95" s="41"/>
      <c r="P95" s="32" t="str">
        <f t="shared" si="10"/>
        <v/>
      </c>
      <c r="Q95" s="63" t="str">
        <f t="shared" si="6"/>
        <v/>
      </c>
      <c r="R95" s="65" t="str">
        <f t="shared" si="7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8"/>
        <v/>
      </c>
      <c r="M96" s="76"/>
      <c r="N96" s="65" t="str">
        <f t="shared" si="9"/>
        <v/>
      </c>
      <c r="O96" s="41"/>
      <c r="P96" s="32" t="str">
        <f t="shared" si="10"/>
        <v/>
      </c>
      <c r="Q96" s="63" t="str">
        <f t="shared" si="6"/>
        <v/>
      </c>
      <c r="R96" s="65" t="str">
        <f t="shared" si="7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8"/>
        <v/>
      </c>
      <c r="M97" s="76"/>
      <c r="N97" s="65" t="str">
        <f t="shared" si="9"/>
        <v/>
      </c>
      <c r="O97" s="41"/>
      <c r="P97" s="32" t="str">
        <f t="shared" si="10"/>
        <v/>
      </c>
      <c r="Q97" s="63" t="str">
        <f t="shared" si="6"/>
        <v/>
      </c>
      <c r="R97" s="65" t="str">
        <f t="shared" si="7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8"/>
        <v/>
      </c>
      <c r="M98" s="76"/>
      <c r="N98" s="65" t="str">
        <f t="shared" si="9"/>
        <v/>
      </c>
      <c r="O98" s="41"/>
      <c r="P98" s="32" t="str">
        <f t="shared" si="10"/>
        <v/>
      </c>
      <c r="Q98" s="63" t="str">
        <f t="shared" si="6"/>
        <v/>
      </c>
      <c r="R98" s="65" t="str">
        <f t="shared" si="7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8"/>
        <v/>
      </c>
      <c r="M99" s="76"/>
      <c r="N99" s="65" t="str">
        <f t="shared" si="9"/>
        <v/>
      </c>
      <c r="O99" s="41"/>
      <c r="P99" s="32" t="str">
        <f t="shared" si="10"/>
        <v/>
      </c>
      <c r="Q99" s="63" t="str">
        <f t="shared" si="6"/>
        <v/>
      </c>
      <c r="R99" s="65" t="str">
        <f t="shared" si="7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8"/>
        <v/>
      </c>
      <c r="M100" s="76"/>
      <c r="N100" s="65" t="str">
        <f t="shared" si="9"/>
        <v/>
      </c>
      <c r="O100" s="41"/>
      <c r="P100" s="32" t="str">
        <f t="shared" si="10"/>
        <v/>
      </c>
      <c r="Q100" s="63" t="str">
        <f t="shared" si="6"/>
        <v/>
      </c>
      <c r="R100" s="65" t="str">
        <f t="shared" si="7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8"/>
        <v/>
      </c>
      <c r="M101" s="76"/>
      <c r="N101" s="65" t="str">
        <f t="shared" si="9"/>
        <v/>
      </c>
      <c r="O101" s="41"/>
      <c r="P101" s="32" t="str">
        <f t="shared" si="10"/>
        <v/>
      </c>
      <c r="Q101" s="63" t="str">
        <f t="shared" si="6"/>
        <v/>
      </c>
      <c r="R101" s="65" t="str">
        <f t="shared" si="7"/>
        <v/>
      </c>
    </row>
    <row r="102" spans="1:18" s="44" customFormat="1">
      <c r="A102" s="271" t="s">
        <v>987</v>
      </c>
      <c r="B102" s="272"/>
      <c r="C102" s="272"/>
      <c r="D102" s="272"/>
      <c r="E102" s="272"/>
      <c r="F102" s="272"/>
      <c r="G102" s="272"/>
      <c r="H102" s="272"/>
      <c r="I102" s="272"/>
      <c r="J102" s="272"/>
      <c r="K102" s="272"/>
      <c r="L102" s="272"/>
      <c r="M102" s="272"/>
      <c r="N102" s="272"/>
      <c r="P102" s="66"/>
      <c r="Q102" s="66"/>
      <c r="R102" s="66"/>
    </row>
    <row r="103" spans="1:18" s="44" customFormat="1" ht="12.75" customHeight="1">
      <c r="A103" s="3"/>
      <c r="B103" s="274" t="str">
        <f>"Tổng danh sách có"</f>
        <v>Tổng danh sách có</v>
      </c>
      <c r="C103" s="274"/>
      <c r="D103" s="274"/>
      <c r="E103" s="274"/>
      <c r="F103" s="254" t="str">
        <f>": "&amp;IF(MAX($A$12:$A$101)=1,0,MAX($A$12:$A$101))&amp;" SV"</f>
        <v>: 10 SV</v>
      </c>
      <c r="G103" s="254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52" t="str">
        <f>"Tổng số SV có điểm Xuất sắc từ 9 đ đến 10 đ"</f>
        <v>Tổng số SV có điểm Xuất sắc từ 9 đ đến 10 đ</v>
      </c>
      <c r="C104" s="252"/>
      <c r="D104" s="252"/>
      <c r="E104" s="252"/>
      <c r="F104" s="252" t="str">
        <f>": "&amp;COUNTIF($Q$12:$Q$101,"XS")&amp;" SV"</f>
        <v>: 0 SV</v>
      </c>
      <c r="G104" s="252"/>
      <c r="H104" s="252" t="str">
        <f>"("&amp;IF(B12="",0,ROUND(COUNTIF($Q$12:$Q$101,"XS")*100/MAX($A$12:$A$101),2))&amp;"%" &amp;")"</f>
        <v>(0%)</v>
      </c>
      <c r="I104" s="252"/>
      <c r="J104" s="276" t="str">
        <f>"Tổng số SV có điểm &gt;= 5 đ : "&amp;COUNTIF(P12:P101,"&gt;=5")&amp;" SV"&amp;" ("&amp;IF(B12="",0,ROUND(COUNTIF(P12:P101,"&gt;=5")*100/MAX($A$12:$A$101),2))&amp;"%" &amp;")"</f>
        <v>Tổng số SV có điểm &gt;= 5 đ : 6 SV (60%)</v>
      </c>
      <c r="K104" s="276"/>
      <c r="L104" s="276"/>
      <c r="M104" s="276"/>
      <c r="N104" s="276"/>
      <c r="P104" s="66"/>
      <c r="Q104" s="66"/>
      <c r="R104" s="66"/>
    </row>
    <row r="105" spans="1:18" s="44" customFormat="1">
      <c r="A105" s="2"/>
      <c r="B105" s="252" t="str">
        <f>"Tổng số SV có điểm Giỏi từ 8 đ đến &lt;9 đ"</f>
        <v>Tổng số SV có điểm Giỏi từ 8 đ đến &lt;9 đ</v>
      </c>
      <c r="C105" s="252"/>
      <c r="D105" s="252"/>
      <c r="E105" s="252"/>
      <c r="F105" s="252" t="str">
        <f>": "&amp;COUNTIF($Q$12:$Q$101,"Giỏi")&amp;" SV"</f>
        <v>: 0 SV</v>
      </c>
      <c r="G105" s="252"/>
      <c r="H105" s="252" t="str">
        <f>"("&amp;IF(B12="",0,ROUND(COUNTIF($Q$12:$Q$101,"Giỏi")*100/MAX($A$12:$A$101),2))&amp;"%" &amp;")"</f>
        <v>(0%)</v>
      </c>
      <c r="I105" s="252"/>
      <c r="J105" s="276"/>
      <c r="K105" s="276"/>
      <c r="L105" s="276"/>
      <c r="M105" s="276"/>
      <c r="N105" s="276"/>
      <c r="P105" s="66"/>
      <c r="Q105" s="66"/>
      <c r="R105" s="66"/>
    </row>
    <row r="106" spans="1:18" s="44" customFormat="1">
      <c r="A106" s="2"/>
      <c r="B106" s="252" t="str">
        <f>"Tổng số SV có điểm Khá từ 7 đ đến &lt;8 đ"</f>
        <v>Tổng số SV có điểm Khá từ 7 đ đến &lt;8 đ</v>
      </c>
      <c r="C106" s="252"/>
      <c r="D106" s="252"/>
      <c r="E106" s="252"/>
      <c r="F106" s="252" t="str">
        <f>": "&amp;COUNTIF($Q$12:$Q$101,"Khá")&amp;" SV"</f>
        <v>: 1 SV</v>
      </c>
      <c r="G106" s="252"/>
      <c r="H106" s="252" t="str">
        <f>"("&amp;IF(B12="",0,ROUND(COUNTIF($Q$12:$Q$101,"Khá")*100/MAX($A$12:$A$101),2))&amp;"%" &amp;")"</f>
        <v>(10%)</v>
      </c>
      <c r="I106" s="252"/>
      <c r="J106" s="276"/>
      <c r="K106" s="276"/>
      <c r="L106" s="276"/>
      <c r="M106" s="276"/>
      <c r="N106" s="276"/>
      <c r="P106" s="66"/>
      <c r="Q106" s="66"/>
      <c r="R106" s="66"/>
    </row>
    <row r="107" spans="1:18" s="44" customFormat="1">
      <c r="A107" s="2"/>
      <c r="B107" s="252" t="str">
        <f>"Tổng số SV có điểm Trung bình khá từ 6 đ đến &lt;7 đ"</f>
        <v>Tổng số SV có điểm Trung bình khá từ 6 đ đến &lt;7 đ</v>
      </c>
      <c r="C107" s="252"/>
      <c r="D107" s="252"/>
      <c r="E107" s="252"/>
      <c r="F107" s="252" t="str">
        <f>": "&amp;COUNTIF($Q$12:$Q$101,"TBK")&amp;" SV"</f>
        <v>: 4 SV</v>
      </c>
      <c r="G107" s="252"/>
      <c r="H107" s="252" t="str">
        <f>"("&amp;IF(B12="",0,ROUND(COUNTIF($Q$12:$Q$101,"TBK")*100/MAX($A$12:$A$101),2))&amp;"%" &amp;")"</f>
        <v>(40%)</v>
      </c>
      <c r="I107" s="252"/>
      <c r="J107" s="276"/>
      <c r="K107" s="276"/>
      <c r="L107" s="276"/>
      <c r="M107" s="276"/>
      <c r="N107" s="276"/>
      <c r="P107" s="66"/>
      <c r="Q107" s="66"/>
      <c r="R107" s="66"/>
    </row>
    <row r="108" spans="1:18" s="44" customFormat="1">
      <c r="A108" s="2"/>
      <c r="B108" s="252" t="str">
        <f>"Tổng số SV có điểm Trung bình từ 5 đ đến &lt;6 đ"</f>
        <v>Tổng số SV có điểm Trung bình từ 5 đ đến &lt;6 đ</v>
      </c>
      <c r="C108" s="252"/>
      <c r="D108" s="252"/>
      <c r="E108" s="252"/>
      <c r="F108" s="252" t="str">
        <f>": "&amp;COUNTIF($Q$12:$Q$101,"TB")&amp;" SV"</f>
        <v>: 1 SV</v>
      </c>
      <c r="G108" s="252"/>
      <c r="H108" s="252" t="str">
        <f>"("&amp;IF(B12="",0,ROUND(COUNTIF($Q$12:$Q$101,"TB")*100/MAX($A$12:$A$101),2))&amp;"%" &amp;")"</f>
        <v>(10%)</v>
      </c>
      <c r="I108" s="252"/>
      <c r="J108" s="269" t="str">
        <f>"Tổng số SV có điểm &lt; 5 đ : "&amp;COUNTIF(P12:P101,"&lt;5")&amp;" SV"&amp;" ("&amp;IF(B12="",0,ROUND(COUNTIF(P12:P101,"&lt;5")*100/MAX($A$12:$A$101),2))&amp;"%" &amp;")"</f>
        <v>Tổng số SV có điểm &lt; 5 đ : 4 SV (40%)</v>
      </c>
      <c r="K108" s="269"/>
      <c r="L108" s="269"/>
      <c r="M108" s="269"/>
      <c r="N108" s="269"/>
      <c r="P108" s="66"/>
      <c r="Q108" s="66"/>
      <c r="R108" s="66"/>
    </row>
    <row r="109" spans="1:18" s="44" customFormat="1">
      <c r="A109" s="2"/>
      <c r="B109" s="252" t="str">
        <f>"Tổng số SV có điểm Yếu từ 4 đ đến &lt;5 đ"</f>
        <v>Tổng số SV có điểm Yếu từ 4 đ đến &lt;5 đ</v>
      </c>
      <c r="C109" s="252"/>
      <c r="D109" s="252"/>
      <c r="E109" s="252"/>
      <c r="F109" s="252" t="str">
        <f>": "&amp;COUNTIF($Q$12:$Q$101,"Yếu")&amp;" SV"</f>
        <v>: 0 SV</v>
      </c>
      <c r="G109" s="252"/>
      <c r="H109" s="252" t="str">
        <f>"("&amp;IF(B12="",0,ROUND(COUNTIF($Q$12:$Q$101,"Yếu")*100/MAX($A$12:$A$101),2))&amp;"%"&amp;")"</f>
        <v>(0%)</v>
      </c>
      <c r="I109" s="252"/>
      <c r="J109" s="269"/>
      <c r="K109" s="269"/>
      <c r="L109" s="269"/>
      <c r="M109" s="269"/>
      <c r="N109" s="269"/>
      <c r="P109" s="66"/>
      <c r="Q109" s="66"/>
      <c r="R109" s="66"/>
    </row>
    <row r="110" spans="1:18" s="44" customFormat="1">
      <c r="A110" s="2"/>
      <c r="B110" s="252" t="str">
        <f>"Tổng số SV có điểm Kém dưới 4 đ"</f>
        <v>Tổng số SV có điểm Kém dưới 4 đ</v>
      </c>
      <c r="C110" s="252"/>
      <c r="D110" s="252"/>
      <c r="E110" s="252"/>
      <c r="F110" s="252" t="str">
        <f>": "&amp;COUNTIF($Q$12:$Q$101,"Kém")&amp;" SV"</f>
        <v>: 4 SV</v>
      </c>
      <c r="G110" s="252"/>
      <c r="H110" s="252" t="str">
        <f>"("&amp;IF(B12="",0,ROUND(COUNTIF($Q$12:$Q$101,"Kém")*100/MAX($A$12:$A$101),2))&amp;"%"&amp;")"</f>
        <v>(40%)</v>
      </c>
      <c r="I110" s="252"/>
      <c r="J110" s="269"/>
      <c r="K110" s="269"/>
      <c r="L110" s="269"/>
      <c r="M110" s="269"/>
      <c r="N110" s="269"/>
      <c r="P110" s="66"/>
      <c r="Q110" s="66"/>
      <c r="R110" s="66"/>
    </row>
    <row r="111" spans="1:18" s="44" customFormat="1">
      <c r="A111" s="2"/>
      <c r="B111" s="252" t="str">
        <f>"Tổng số SV không xếp loại vì chưa đủ điều kiện"</f>
        <v>Tổng số SV không xếp loại vì chưa đủ điều kiện</v>
      </c>
      <c r="C111" s="252"/>
      <c r="D111" s="252"/>
      <c r="E111" s="252"/>
      <c r="F111" s="252" t="str">
        <f>": "&amp;COUNTIF($Q$12:$Q$101,"KXL")&amp;" SV"</f>
        <v>: 0 SV</v>
      </c>
      <c r="G111" s="252"/>
      <c r="H111" s="252" t="str">
        <f>"("&amp;IF(B12="",0,ROUND(COUNTIF($Q$12:$Q$101,"KXL")*100/MAX($A$12:$A$101),2))&amp;"%"&amp;")"</f>
        <v>(0%)</v>
      </c>
      <c r="I111" s="252"/>
      <c r="J111" s="269"/>
      <c r="K111" s="269"/>
      <c r="L111" s="269"/>
      <c r="M111" s="269"/>
      <c r="N111" s="269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67" t="s">
        <v>20</v>
      </c>
      <c r="B113" s="267"/>
      <c r="C113" s="267"/>
      <c r="D113" s="267" t="s">
        <v>27</v>
      </c>
      <c r="E113" s="267"/>
      <c r="F113" s="267"/>
      <c r="G113" s="267"/>
      <c r="H113" s="267"/>
      <c r="I113" s="267" t="s">
        <v>21</v>
      </c>
      <c r="J113" s="267"/>
      <c r="K113" s="267"/>
      <c r="L113" s="267"/>
      <c r="M113" s="267"/>
      <c r="N113" s="267"/>
    </row>
    <row r="114" spans="1:18">
      <c r="A114" s="277"/>
      <c r="B114" s="277"/>
      <c r="C114" s="277"/>
      <c r="D114" s="45"/>
      <c r="E114" s="45"/>
      <c r="G114" s="45"/>
      <c r="H114" s="45"/>
      <c r="I114" s="45"/>
      <c r="J114" s="45"/>
      <c r="K114" s="268"/>
      <c r="L114" s="268"/>
      <c r="M114" s="268"/>
      <c r="N114" s="268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I120" s="279" t="s">
        <v>1164</v>
      </c>
      <c r="J120" s="279"/>
      <c r="K120" s="279"/>
      <c r="L120" s="279"/>
      <c r="M120" s="279"/>
      <c r="N120" s="279"/>
      <c r="P120" s="56"/>
      <c r="Q120" s="56"/>
      <c r="R120" s="56"/>
    </row>
  </sheetData>
  <sheetProtection password="CD88" sheet="1" formatCells="0" formatRows="0"/>
  <dataConsolidate/>
  <mergeCells count="64">
    <mergeCell ref="F107:G107"/>
    <mergeCell ref="F106:G106"/>
    <mergeCell ref="I10:K11"/>
    <mergeCell ref="F10:H11"/>
    <mergeCell ref="F103:G103"/>
    <mergeCell ref="F105:G105"/>
    <mergeCell ref="B103:E103"/>
    <mergeCell ref="F7:K7"/>
    <mergeCell ref="L8:L11"/>
    <mergeCell ref="L7:R7"/>
    <mergeCell ref="R8:R11"/>
    <mergeCell ref="M8:M11"/>
    <mergeCell ref="E8:E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A5:R5"/>
    <mergeCell ref="N8:N11"/>
    <mergeCell ref="A8:A11"/>
    <mergeCell ref="Q8:Q11"/>
    <mergeCell ref="L6:M6"/>
    <mergeCell ref="H6:I6"/>
    <mergeCell ref="C6:G6"/>
    <mergeCell ref="A4:R4"/>
    <mergeCell ref="F1:R1"/>
    <mergeCell ref="F2:R2"/>
    <mergeCell ref="F3:R3"/>
    <mergeCell ref="A3:E3"/>
    <mergeCell ref="A1:E1"/>
    <mergeCell ref="A2:E2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3" t="s">
        <v>195</v>
      </c>
      <c r="B1" s="293"/>
      <c r="C1" s="293"/>
      <c r="D1" s="293"/>
      <c r="E1" s="293"/>
      <c r="F1" s="206"/>
      <c r="G1" s="280" t="s">
        <v>988</v>
      </c>
      <c r="H1" s="280"/>
      <c r="I1" s="280"/>
      <c r="J1" s="280"/>
      <c r="K1" s="280"/>
    </row>
    <row r="2" spans="1:11" s="118" customFormat="1" ht="15.75" customHeight="1">
      <c r="A2" s="293" t="s">
        <v>989</v>
      </c>
      <c r="B2" s="293"/>
      <c r="C2" s="293"/>
      <c r="D2" s="293"/>
      <c r="E2" s="293"/>
      <c r="F2" s="207"/>
      <c r="G2" s="297" t="s">
        <v>12</v>
      </c>
      <c r="H2" s="297"/>
      <c r="I2" s="297"/>
      <c r="J2" s="297"/>
      <c r="K2" s="297"/>
    </row>
    <row r="3" spans="1:11" ht="15.75" customHeight="1">
      <c r="A3" s="294" t="s">
        <v>990</v>
      </c>
      <c r="B3" s="294"/>
      <c r="C3" s="294"/>
      <c r="D3" s="294"/>
      <c r="E3" s="294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2" t="s">
        <v>991</v>
      </c>
      <c r="B6" s="282"/>
      <c r="C6" s="282"/>
      <c r="D6" s="282"/>
      <c r="E6" s="282"/>
      <c r="F6" s="282"/>
      <c r="G6" s="282"/>
      <c r="H6" s="282"/>
      <c r="I6" s="282"/>
      <c r="J6" s="282"/>
      <c r="K6" s="282"/>
    </row>
    <row r="7" spans="1:11" ht="24" customHeight="1">
      <c r="A7" s="282" t="s">
        <v>992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</row>
    <row r="8" spans="1:11" ht="22.5" customHeight="1">
      <c r="A8" s="281" t="s">
        <v>993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4" t="s">
        <v>18</v>
      </c>
      <c r="B10" s="285" t="s">
        <v>17</v>
      </c>
      <c r="C10" s="290" t="s">
        <v>1151</v>
      </c>
      <c r="D10" s="286" t="s">
        <v>196</v>
      </c>
      <c r="E10" s="287"/>
      <c r="F10" s="290" t="s">
        <v>994</v>
      </c>
      <c r="G10" s="291" t="s">
        <v>995</v>
      </c>
      <c r="H10" s="283" t="s">
        <v>996</v>
      </c>
      <c r="I10" s="283"/>
      <c r="J10" s="283" t="s">
        <v>997</v>
      </c>
      <c r="K10" s="283"/>
    </row>
    <row r="11" spans="1:11" ht="24.75" customHeight="1">
      <c r="A11" s="284"/>
      <c r="B11" s="285"/>
      <c r="C11" s="285"/>
      <c r="D11" s="288"/>
      <c r="E11" s="289"/>
      <c r="F11" s="285"/>
      <c r="G11" s="292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5" t="s">
        <v>1150</v>
      </c>
      <c r="G131" s="295"/>
      <c r="H131" s="295"/>
      <c r="I131" s="295"/>
      <c r="J131" s="295"/>
      <c r="K131" s="295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6" t="s">
        <v>140</v>
      </c>
      <c r="G137" s="296"/>
      <c r="H137" s="296"/>
      <c r="I137" s="296"/>
      <c r="J137" s="296"/>
      <c r="K137" s="296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zoomScaleNormal="100" zoomScaleSheetLayoutView="75" workbookViewId="0">
      <selection activeCell="P74" sqref="P74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8" t="s">
        <v>143</v>
      </c>
      <c r="B1" s="258"/>
      <c r="C1" s="258"/>
      <c r="D1" s="258"/>
      <c r="E1" s="262" t="s">
        <v>75</v>
      </c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</row>
    <row r="2" spans="1:20" ht="27.75" customHeight="1">
      <c r="A2" s="259" t="s">
        <v>144</v>
      </c>
      <c r="B2" s="260"/>
      <c r="C2" s="260"/>
      <c r="D2" s="260"/>
      <c r="E2" s="263" t="s">
        <v>74</v>
      </c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</row>
    <row r="3" spans="1:20" ht="15.75">
      <c r="A3" s="249" t="s">
        <v>142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</row>
    <row r="4" spans="1:20" ht="18.75">
      <c r="A4" s="261" t="s">
        <v>91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</row>
    <row r="5" spans="1:20" ht="18.75">
      <c r="A5" s="251" t="str">
        <f>IF(OR(B12="",C6="",I6="",K6="",M90=""),"Số liệu chỉ hiển thị khi thông tin Tên HP, số ĐVHT, Tên Lớp mới, Tên Giảng viên đã được điền đầy đủ","")</f>
        <v/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</row>
    <row r="6" spans="1:20" s="34" customFormat="1" ht="16.5">
      <c r="A6" s="298" t="s">
        <v>19</v>
      </c>
      <c r="B6" s="298"/>
      <c r="C6" s="278" t="s">
        <v>1165</v>
      </c>
      <c r="D6" s="278"/>
      <c r="E6" s="278"/>
      <c r="F6" s="278"/>
      <c r="G6" s="248" t="s">
        <v>32</v>
      </c>
      <c r="H6" s="248"/>
      <c r="I6" s="214">
        <v>2</v>
      </c>
      <c r="J6" s="33" t="s">
        <v>31</v>
      </c>
      <c r="K6" s="278" t="s">
        <v>1166</v>
      </c>
      <c r="L6" s="278"/>
      <c r="M6" s="278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4" t="s">
        <v>193</v>
      </c>
      <c r="F7" s="314"/>
      <c r="G7" s="314"/>
      <c r="H7" s="314"/>
      <c r="I7" s="314"/>
      <c r="J7" s="314"/>
      <c r="K7" s="36"/>
      <c r="L7" s="311" t="s">
        <v>89</v>
      </c>
      <c r="M7" s="311"/>
      <c r="N7" s="311"/>
      <c r="O7" s="311"/>
      <c r="P7" s="311"/>
      <c r="Q7" s="311"/>
      <c r="R7" s="311"/>
      <c r="S7" s="311"/>
      <c r="T7" s="311"/>
    </row>
    <row r="8" spans="1:20" s="39" customFormat="1" ht="15" customHeight="1">
      <c r="A8" s="308" t="s">
        <v>18</v>
      </c>
      <c r="B8" s="308" t="s">
        <v>83</v>
      </c>
      <c r="C8" s="300" t="s">
        <v>7</v>
      </c>
      <c r="D8" s="302"/>
      <c r="E8" s="300" t="s">
        <v>25</v>
      </c>
      <c r="F8" s="301"/>
      <c r="G8" s="301"/>
      <c r="H8" s="301"/>
      <c r="I8" s="301"/>
      <c r="J8" s="302"/>
      <c r="K8" s="308" t="s">
        <v>26</v>
      </c>
      <c r="L8" s="257" t="s">
        <v>2</v>
      </c>
      <c r="M8" s="253" t="s">
        <v>1</v>
      </c>
      <c r="N8" s="308" t="s">
        <v>8</v>
      </c>
      <c r="O8" s="308" t="s">
        <v>9</v>
      </c>
      <c r="P8" s="308" t="s">
        <v>10</v>
      </c>
      <c r="Q8" s="308" t="s">
        <v>11</v>
      </c>
      <c r="R8" s="306" t="s">
        <v>28</v>
      </c>
      <c r="S8" s="253" t="s">
        <v>84</v>
      </c>
      <c r="T8" s="253" t="s">
        <v>85</v>
      </c>
    </row>
    <row r="9" spans="1:20" s="39" customFormat="1" ht="15">
      <c r="A9" s="309"/>
      <c r="B9" s="309"/>
      <c r="C9" s="312"/>
      <c r="D9" s="313"/>
      <c r="E9" s="303"/>
      <c r="F9" s="304"/>
      <c r="G9" s="304"/>
      <c r="H9" s="304"/>
      <c r="I9" s="304"/>
      <c r="J9" s="305"/>
      <c r="K9" s="309"/>
      <c r="L9" s="257"/>
      <c r="M9" s="256"/>
      <c r="N9" s="309"/>
      <c r="O9" s="309"/>
      <c r="P9" s="309"/>
      <c r="Q9" s="309"/>
      <c r="R9" s="307"/>
      <c r="S9" s="256"/>
      <c r="T9" s="256"/>
    </row>
    <row r="10" spans="1:20" s="39" customFormat="1" ht="15">
      <c r="A10" s="309"/>
      <c r="B10" s="309"/>
      <c r="C10" s="312"/>
      <c r="D10" s="313"/>
      <c r="E10" s="300" t="s">
        <v>29</v>
      </c>
      <c r="F10" s="301"/>
      <c r="G10" s="302"/>
      <c r="H10" s="300" t="s">
        <v>30</v>
      </c>
      <c r="I10" s="301"/>
      <c r="J10" s="302"/>
      <c r="K10" s="309"/>
      <c r="L10" s="257"/>
      <c r="M10" s="256"/>
      <c r="N10" s="309"/>
      <c r="O10" s="309"/>
      <c r="P10" s="309"/>
      <c r="Q10" s="309"/>
      <c r="R10" s="307"/>
      <c r="S10" s="256"/>
      <c r="T10" s="256"/>
    </row>
    <row r="11" spans="1:20" s="39" customFormat="1" ht="15">
      <c r="A11" s="310"/>
      <c r="B11" s="310"/>
      <c r="C11" s="303"/>
      <c r="D11" s="305"/>
      <c r="E11" s="303"/>
      <c r="F11" s="304"/>
      <c r="G11" s="305"/>
      <c r="H11" s="303"/>
      <c r="I11" s="304"/>
      <c r="J11" s="305"/>
      <c r="K11" s="310"/>
      <c r="L11" s="257"/>
      <c r="M11" s="256"/>
      <c r="N11" s="310"/>
      <c r="O11" s="310"/>
      <c r="P11" s="310"/>
      <c r="Q11" s="310"/>
      <c r="R11" s="307"/>
      <c r="S11" s="256"/>
      <c r="T11" s="256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>
        <v>6.5</v>
      </c>
      <c r="H12" s="41">
        <v>6.5</v>
      </c>
      <c r="I12" s="41"/>
      <c r="J12" s="41"/>
      <c r="K12" s="30">
        <f>IF(OR(B12="",$C$6="",$I$6="",$K$6="",$M$90=""),"",IF((COUNT(E12:J12))=0,0,ROUND((SUM(E12:G12)+2*SUM(H12:J12))/(COUNT(E12:G12)+2*COUNT(H12:J12)),1)))</f>
        <v>6.5</v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>
        <f>IF(OR(B12="",$C$6="",$I$6="",$K$6="",$M$90=""),"",ROUND((K12*0.4+N12*0.6),1))</f>
        <v>5.6</v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TB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>
        <v>5</v>
      </c>
      <c r="H13" s="41">
        <v>5</v>
      </c>
      <c r="I13" s="41"/>
      <c r="J13" s="41"/>
      <c r="K13" s="30">
        <f>IF(OR(B13="",$C$6="",$I$6="",$K$6="",$M$90=""),"",IF((COUNT(E13:J13))=0,0,ROUND((SUM(E13:G13)+2*SUM(H13:J13))/(COUNT(E13:G13)+2*COUNT(H13:J13)),1)))</f>
        <v>5</v>
      </c>
      <c r="L13" s="76"/>
      <c r="M13" s="65" t="str">
        <f t="shared" si="0"/>
        <v/>
      </c>
      <c r="N13" s="41">
        <v>0</v>
      </c>
      <c r="O13" s="41"/>
      <c r="P13" s="30">
        <f t="shared" ref="P13:P43" si="2">IF(OR(B13="",$C$6="",$I$6="",$K$6="",$M$90=""),"",ROUND((K13*0.4+N13*0.6),1))</f>
        <v>2</v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Kém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>
        <v>5</v>
      </c>
      <c r="H14" s="41">
        <v>5</v>
      </c>
      <c r="I14" s="41"/>
      <c r="J14" s="41"/>
      <c r="K14" s="30">
        <f t="shared" ref="K14:K43" si="6">IF(OR(B14="",$C$6="",$I$6="",$K$6="",$M$90=""),"",IF((COUNT(E14:J14))=0,0,ROUND((SUM(E14:G14)+2*SUM(H14:J14))/(COUNT(E14:G14)+2*COUNT(H14:J14)),1)))</f>
        <v>5</v>
      </c>
      <c r="L14" s="76"/>
      <c r="M14" s="65" t="str">
        <f t="shared" si="0"/>
        <v/>
      </c>
      <c r="N14" s="41">
        <v>0</v>
      </c>
      <c r="O14" s="41"/>
      <c r="P14" s="30">
        <f t="shared" si="2"/>
        <v>2</v>
      </c>
      <c r="Q14" s="30" t="str">
        <f t="shared" si="3"/>
        <v/>
      </c>
      <c r="R14" s="42" t="str">
        <f t="shared" si="1"/>
        <v>Kém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>
        <v>5</v>
      </c>
      <c r="H15" s="41">
        <v>5</v>
      </c>
      <c r="I15" s="41"/>
      <c r="J15" s="41"/>
      <c r="K15" s="30">
        <f t="shared" si="6"/>
        <v>5</v>
      </c>
      <c r="L15" s="76"/>
      <c r="M15" s="65" t="str">
        <f t="shared" si="0"/>
        <v/>
      </c>
      <c r="N15" s="41">
        <v>0</v>
      </c>
      <c r="O15" s="41"/>
      <c r="P15" s="30">
        <f t="shared" si="2"/>
        <v>2</v>
      </c>
      <c r="Q15" s="30" t="str">
        <f t="shared" si="3"/>
        <v/>
      </c>
      <c r="R15" s="42" t="str">
        <f t="shared" si="1"/>
        <v>Kém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>
        <v>6</v>
      </c>
      <c r="H16" s="41">
        <v>6</v>
      </c>
      <c r="I16" s="41"/>
      <c r="J16" s="41"/>
      <c r="K16" s="30">
        <f t="shared" si="6"/>
        <v>6</v>
      </c>
      <c r="L16" s="76"/>
      <c r="M16" s="65" t="str">
        <f t="shared" si="0"/>
        <v/>
      </c>
      <c r="N16" s="41">
        <v>5.5</v>
      </c>
      <c r="O16" s="41"/>
      <c r="P16" s="30">
        <f t="shared" si="2"/>
        <v>5.7</v>
      </c>
      <c r="Q16" s="30" t="str">
        <f t="shared" si="3"/>
        <v/>
      </c>
      <c r="R16" s="42" t="str">
        <f t="shared" si="1"/>
        <v>TB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0.75" customHeight="1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 hidden="1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 hidden="1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 hidden="1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 hidden="1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 hidden="1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 hidden="1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 hidden="1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 hidden="1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 hidden="1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 hidden="1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 hidden="1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 hidden="1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 hidden="1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 hidden="1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 hidden="1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 hidden="1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 hidden="1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 hidden="1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 hidden="1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 hidden="1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0.75" customHeight="1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 hidden="1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 hidden="1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 hidden="1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 hidden="1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 hidden="1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 hidden="1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 hidden="1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4.25" hidden="1" customHeight="1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 hidden="1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 hidden="1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 hidden="1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 hidden="1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 hidden="1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 hidden="1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 hidden="1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 hidden="1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 hidden="1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 hidden="1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 hidden="1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 hidden="1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 hidden="1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 hidden="1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 hidden="1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 hidden="1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 hidden="1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.5" hidden="1" customHeight="1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 hidden="1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 hidden="1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 hidden="1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 hidden="1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 hidden="1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 hidden="1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72" t="s">
        <v>986</v>
      </c>
      <c r="B72" s="272"/>
      <c r="C72" s="272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2"/>
      <c r="S72" s="272"/>
      <c r="T72" s="272"/>
    </row>
    <row r="73" spans="1:20" s="44" customFormat="1" ht="12.75" customHeight="1">
      <c r="A73" s="3"/>
      <c r="B73" s="274" t="str">
        <f>"Tổng danh sách có"</f>
        <v>Tổng danh sách có</v>
      </c>
      <c r="C73" s="274"/>
      <c r="D73" s="274"/>
      <c r="E73" s="254" t="str">
        <f>": "&amp;IF(MAX($A$12:$A$71)=1,0,MAX($A$12:$A$71))&amp;" SV"</f>
        <v>: 5 SV</v>
      </c>
      <c r="F73" s="25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2" t="str">
        <f>"Tổng số SV có điểm Xuất sắc từ 9 đ đến 10 đ"</f>
        <v>Tổng số SV có điểm Xuất sắc từ 9 đ đến 10 đ</v>
      </c>
      <c r="C74" s="252"/>
      <c r="D74" s="252"/>
      <c r="E74" s="252" t="str">
        <f>": "&amp;COUNTIF(R12:R71,"XS")&amp;" SV"</f>
        <v>: 0 SV</v>
      </c>
      <c r="F74" s="252"/>
      <c r="G74" s="252" t="str">
        <f>IF(B12="","","("&amp;ROUND(COUNTIF(R12:R71,"XS")*100/MAX($A$12:$A$71),2)&amp;"%" &amp;")")</f>
        <v>(0%)</v>
      </c>
      <c r="H74" s="252"/>
      <c r="I74" s="276" t="str">
        <f>IF(B12="","","Tổng số SV có điểm &gt;= 5 đ : "&amp;COUNTIF(P12:P71,"&gt;=5")&amp;" SV"&amp;" ("&amp;ROUND(COUNTIF(P12:P71,"&gt;=5")*100/MAX($A$12:$A$71),2)&amp;"%" &amp;")")</f>
        <v>Tổng số SV có điểm &gt;= 5 đ : 2 SV (40%)</v>
      </c>
      <c r="J74" s="276"/>
      <c r="K74" s="276"/>
      <c r="L74" s="276"/>
      <c r="M74" s="276"/>
      <c r="N74" s="276"/>
      <c r="Q74" s="66"/>
      <c r="R74" s="66"/>
    </row>
    <row r="75" spans="1:20" s="44" customFormat="1">
      <c r="A75" s="2"/>
      <c r="B75" s="252" t="str">
        <f>"Tổng số SV có điểm Giỏi từ 8 đ đến &lt;9 đ"</f>
        <v>Tổng số SV có điểm Giỏi từ 8 đ đến &lt;9 đ</v>
      </c>
      <c r="C75" s="252"/>
      <c r="D75" s="252"/>
      <c r="E75" s="252" t="str">
        <f>": "&amp;COUNTIF(R12:R71,"Giỏi")&amp;" SV"</f>
        <v>: 0 SV</v>
      </c>
      <c r="F75" s="252"/>
      <c r="G75" s="252" t="str">
        <f>IF(B12="","","("&amp;ROUND(COUNTIF(R12:R71,"Giỏi")*100/MAX($A$12:$A$71),2)&amp;"%" &amp;")")</f>
        <v>(0%)</v>
      </c>
      <c r="H75" s="252"/>
      <c r="I75" s="276"/>
      <c r="J75" s="276"/>
      <c r="K75" s="276"/>
      <c r="L75" s="276"/>
      <c r="M75" s="276"/>
      <c r="N75" s="276"/>
      <c r="Q75" s="66"/>
      <c r="R75" s="66"/>
    </row>
    <row r="76" spans="1:20" s="44" customFormat="1">
      <c r="A76" s="2"/>
      <c r="B76" s="252" t="str">
        <f>"Tổng số SV có điểm Khá từ 7 đ đến &lt;8 đ"</f>
        <v>Tổng số SV có điểm Khá từ 7 đ đến &lt;8 đ</v>
      </c>
      <c r="C76" s="252"/>
      <c r="D76" s="252"/>
      <c r="E76" s="252" t="str">
        <f>": "&amp;COUNTIF(R12:R71,"Khá")&amp;" SV"</f>
        <v>: 0 SV</v>
      </c>
      <c r="F76" s="252"/>
      <c r="G76" s="252" t="str">
        <f>IF(B12="","","("&amp;ROUND(COUNTIF(R12:R71,"Khá")*100/MAX($A$12:$A$71),2)&amp;"%" &amp;")")</f>
        <v>(0%)</v>
      </c>
      <c r="H76" s="252"/>
      <c r="I76" s="276"/>
      <c r="J76" s="276"/>
      <c r="K76" s="276"/>
      <c r="L76" s="276"/>
      <c r="M76" s="276"/>
      <c r="N76" s="276"/>
      <c r="Q76" s="66"/>
      <c r="R76" s="66"/>
    </row>
    <row r="77" spans="1:20" s="44" customFormat="1">
      <c r="A77" s="2"/>
      <c r="B77" s="252" t="str">
        <f>"Tổng số SV có điểm Trung bình khá từ 6 đ đến &lt;7 đ"</f>
        <v>Tổng số SV có điểm Trung bình khá từ 6 đ đến &lt;7 đ</v>
      </c>
      <c r="C77" s="252"/>
      <c r="D77" s="252"/>
      <c r="E77" s="252" t="str">
        <f>": "&amp;COUNTIF(R12:R71,"TBK")&amp;" SV"</f>
        <v>: 0 SV</v>
      </c>
      <c r="F77" s="252"/>
      <c r="G77" s="252" t="str">
        <f>IF(B12="","","("&amp;ROUND(COUNTIF(R12:R71,"TBK")*100/MAX($A$12:$A$71),2)&amp;"%" &amp;")")</f>
        <v>(0%)</v>
      </c>
      <c r="H77" s="252"/>
      <c r="I77" s="276"/>
      <c r="J77" s="276"/>
      <c r="K77" s="276"/>
      <c r="L77" s="276"/>
      <c r="M77" s="276"/>
      <c r="N77" s="276"/>
      <c r="Q77" s="66"/>
      <c r="R77" s="66"/>
    </row>
    <row r="78" spans="1:20" s="44" customFormat="1">
      <c r="A78" s="2"/>
      <c r="B78" s="252" t="str">
        <f>"Tổng số SV có điểm Trung bình từ 5 đ đến &lt;6 đ"</f>
        <v>Tổng số SV có điểm Trung bình từ 5 đ đến &lt;6 đ</v>
      </c>
      <c r="C78" s="252"/>
      <c r="D78" s="252"/>
      <c r="E78" s="252" t="str">
        <f>": "&amp;COUNTIF(R12:R71,"TB")&amp;" SV"</f>
        <v>: 2 SV</v>
      </c>
      <c r="F78" s="252"/>
      <c r="G78" s="252" t="str">
        <f>IF(B12="","","("&amp;ROUND(COUNTIF(R12:R71,"TB")*100/MAX($A$12:$A$71),2)&amp;"%" &amp;")")</f>
        <v>(40%)</v>
      </c>
      <c r="H78" s="252"/>
      <c r="I78" s="269" t="str">
        <f>IF(B12="","","Tổng số SV có điểm &lt; 5 đ : "&amp;COUNTIF(P12:P71,"&lt;5")&amp;" SV"&amp;" ("&amp;ROUND(COUNTIF(P12:P71,"&lt;5")*100/MAX($A$12:$A$71),2)&amp;"%" &amp;")")</f>
        <v>Tổng số SV có điểm &lt; 5 đ : 3 SV (60%)</v>
      </c>
      <c r="J78" s="269"/>
      <c r="K78" s="269"/>
      <c r="L78" s="269"/>
      <c r="M78" s="269"/>
      <c r="N78" s="269"/>
      <c r="Q78" s="66"/>
      <c r="R78" s="66"/>
    </row>
    <row r="79" spans="1:20" s="44" customFormat="1">
      <c r="A79" s="2"/>
      <c r="B79" s="252" t="str">
        <f>"Tổng số SV có điểm Yếu từ 4 đ đến &lt;5 đ"</f>
        <v>Tổng số SV có điểm Yếu từ 4 đ đến &lt;5 đ</v>
      </c>
      <c r="C79" s="252"/>
      <c r="D79" s="252"/>
      <c r="E79" s="252" t="str">
        <f>": "&amp;COUNTIF(R12:R71,"Yếu")&amp;" SV"</f>
        <v>: 0 SV</v>
      </c>
      <c r="F79" s="252"/>
      <c r="G79" s="252" t="str">
        <f>IF(B12="","","("&amp;ROUND(COUNTIF(R12:R71,"Yếu")*100/MAX($A$12:$A$71),2)&amp;"%"&amp;")")</f>
        <v>(0%)</v>
      </c>
      <c r="H79" s="252"/>
      <c r="I79" s="269"/>
      <c r="J79" s="269"/>
      <c r="K79" s="269"/>
      <c r="L79" s="269"/>
      <c r="M79" s="269"/>
      <c r="N79" s="269"/>
      <c r="Q79" s="66"/>
      <c r="R79" s="66"/>
    </row>
    <row r="80" spans="1:20" s="44" customFormat="1">
      <c r="A80" s="2"/>
      <c r="B80" s="252" t="str">
        <f>"Tổng số SV có điểm Kém dưới 4 đ"</f>
        <v>Tổng số SV có điểm Kém dưới 4 đ</v>
      </c>
      <c r="C80" s="252"/>
      <c r="D80" s="252"/>
      <c r="E80" s="252" t="str">
        <f>": "&amp;COUNTIF(R12:R71,"Kém")&amp;" SV"</f>
        <v>: 3 SV</v>
      </c>
      <c r="F80" s="252"/>
      <c r="G80" s="252" t="str">
        <f>IF(B12="","","("&amp;ROUND(COUNTIF(R12:R71,"Kém")*100/MAX($A$12:$A$71),2)&amp;"%"&amp;")")</f>
        <v>(60%)</v>
      </c>
      <c r="H80" s="252"/>
      <c r="I80" s="269"/>
      <c r="J80" s="269"/>
      <c r="K80" s="269"/>
      <c r="L80" s="269"/>
      <c r="M80" s="269"/>
      <c r="N80" s="269"/>
      <c r="Q80" s="66"/>
      <c r="R80" s="66"/>
    </row>
    <row r="81" spans="1:18" s="44" customFormat="1">
      <c r="A81" s="2"/>
      <c r="B81" s="252" t="str">
        <f>"Tổng số SV không xếp loại vì chưa đủ điều kiện"</f>
        <v>Tổng số SV không xếp loại vì chưa đủ điều kiện</v>
      </c>
      <c r="C81" s="252"/>
      <c r="D81" s="252"/>
      <c r="E81" s="252" t="str">
        <f>": "&amp;COUNTIF(R12:R71,"KXL")&amp;" SV"</f>
        <v>: 0 SV</v>
      </c>
      <c r="F81" s="252"/>
      <c r="G81" s="252" t="str">
        <f>IF(B12="","","("&amp;ROUND(COUNTIF(R12:R71,"KXL")*100/MAX($A$12:$A$71),2)&amp;"%"&amp;")")</f>
        <v>(0%)</v>
      </c>
      <c r="H81" s="252"/>
      <c r="I81" s="269"/>
      <c r="J81" s="269"/>
      <c r="K81" s="269"/>
      <c r="L81" s="269"/>
      <c r="M81" s="269"/>
      <c r="N81" s="269"/>
      <c r="Q81" s="66"/>
      <c r="R81" s="66"/>
    </row>
    <row r="82" spans="1:18" ht="15.75">
      <c r="B82" s="299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/>
      </c>
      <c r="C82" s="299"/>
      <c r="D82" s="299"/>
      <c r="E82" s="299"/>
      <c r="F82" s="299"/>
      <c r="G82" s="299"/>
      <c r="H82" s="299"/>
      <c r="I82" s="299"/>
      <c r="J82" s="299"/>
      <c r="K82" s="299"/>
      <c r="L82" s="299"/>
      <c r="M82" s="299"/>
      <c r="N82" s="299"/>
    </row>
    <row r="83" spans="1:18" ht="15.75" customHeight="1">
      <c r="A83" s="267" t="s">
        <v>20</v>
      </c>
      <c r="B83" s="267"/>
      <c r="C83" s="267"/>
      <c r="D83" s="267" t="s">
        <v>27</v>
      </c>
      <c r="E83" s="267"/>
      <c r="F83" s="267"/>
      <c r="G83" s="267"/>
      <c r="I83" s="77"/>
      <c r="J83" s="77"/>
      <c r="K83" s="77"/>
      <c r="L83" s="77"/>
      <c r="M83" s="267" t="s">
        <v>21</v>
      </c>
      <c r="N83" s="267"/>
      <c r="O83" s="267"/>
      <c r="P83" s="267"/>
      <c r="Q83" s="26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79" t="s">
        <v>1164</v>
      </c>
      <c r="N90" s="279"/>
      <c r="O90" s="279"/>
      <c r="P90" s="279"/>
      <c r="Q90" s="279"/>
      <c r="R90" s="56"/>
    </row>
  </sheetData>
  <sheetProtection password="CD88" sheet="1" formatCells="0" formatRows="0"/>
  <dataConsolidate/>
  <mergeCells count="66"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  <mergeCell ref="G79:H79"/>
    <mergeCell ref="E79:F79"/>
    <mergeCell ref="G78:H78"/>
    <mergeCell ref="G80:H80"/>
    <mergeCell ref="G77:H77"/>
    <mergeCell ref="B81:D81"/>
    <mergeCell ref="D83:G83"/>
    <mergeCell ref="E80:F80"/>
    <mergeCell ref="E81:F81"/>
    <mergeCell ref="B80:D80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E3:T3"/>
    <mergeCell ref="A5:T5"/>
    <mergeCell ref="A4:T4"/>
    <mergeCell ref="A6:B6"/>
    <mergeCell ref="K6:M6"/>
    <mergeCell ref="C6:F6"/>
    <mergeCell ref="A3:D3"/>
    <mergeCell ref="G6:H6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58" t="s">
        <v>143</v>
      </c>
      <c r="B1" s="258"/>
      <c r="C1" s="258"/>
      <c r="D1" s="258"/>
      <c r="E1" s="262" t="s">
        <v>75</v>
      </c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</row>
    <row r="2" spans="1:20" ht="27.75" customHeight="1">
      <c r="A2" s="259" t="s">
        <v>144</v>
      </c>
      <c r="B2" s="260"/>
      <c r="C2" s="260"/>
      <c r="D2" s="260"/>
      <c r="E2" s="263" t="s">
        <v>74</v>
      </c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</row>
    <row r="3" spans="1:20" ht="15.75">
      <c r="A3" s="249" t="s">
        <v>145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</row>
    <row r="4" spans="1:20" ht="18.75">
      <c r="A4" s="261" t="s">
        <v>88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</row>
    <row r="5" spans="1:20" ht="18.75">
      <c r="A5" s="251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</row>
    <row r="6" spans="1:20" s="34" customFormat="1" ht="16.5">
      <c r="A6" s="298" t="s">
        <v>19</v>
      </c>
      <c r="B6" s="298"/>
      <c r="C6" s="270"/>
      <c r="D6" s="270"/>
      <c r="E6" s="270"/>
      <c r="F6" s="270"/>
      <c r="G6" s="248" t="s">
        <v>32</v>
      </c>
      <c r="H6" s="248"/>
      <c r="I6" s="53"/>
      <c r="J6" s="33" t="s">
        <v>31</v>
      </c>
      <c r="K6" s="270"/>
      <c r="L6" s="270"/>
      <c r="M6" s="270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14" t="s">
        <v>193</v>
      </c>
      <c r="F7" s="314"/>
      <c r="G7" s="314"/>
      <c r="H7" s="314"/>
      <c r="I7" s="314"/>
      <c r="J7" s="314"/>
      <c r="K7" s="36"/>
      <c r="L7" s="311" t="s">
        <v>90</v>
      </c>
      <c r="M7" s="311"/>
      <c r="N7" s="311"/>
      <c r="O7" s="311"/>
      <c r="P7" s="311"/>
      <c r="Q7" s="311"/>
      <c r="R7" s="311"/>
      <c r="S7" s="311"/>
      <c r="T7" s="311"/>
    </row>
    <row r="8" spans="1:20" s="39" customFormat="1" ht="15" customHeight="1">
      <c r="A8" s="308" t="s">
        <v>18</v>
      </c>
      <c r="B8" s="308" t="s">
        <v>83</v>
      </c>
      <c r="C8" s="300" t="s">
        <v>7</v>
      </c>
      <c r="D8" s="302"/>
      <c r="E8" s="300" t="s">
        <v>25</v>
      </c>
      <c r="F8" s="301"/>
      <c r="G8" s="301"/>
      <c r="H8" s="301"/>
      <c r="I8" s="301"/>
      <c r="J8" s="302"/>
      <c r="K8" s="308" t="s">
        <v>26</v>
      </c>
      <c r="L8" s="257" t="s">
        <v>2</v>
      </c>
      <c r="M8" s="253" t="s">
        <v>1</v>
      </c>
      <c r="N8" s="308" t="s">
        <v>8</v>
      </c>
      <c r="O8" s="308" t="s">
        <v>9</v>
      </c>
      <c r="P8" s="308" t="s">
        <v>10</v>
      </c>
      <c r="Q8" s="308" t="s">
        <v>11</v>
      </c>
      <c r="R8" s="306" t="s">
        <v>28</v>
      </c>
      <c r="S8" s="253" t="s">
        <v>84</v>
      </c>
      <c r="T8" s="253" t="s">
        <v>85</v>
      </c>
    </row>
    <row r="9" spans="1:20" s="39" customFormat="1" ht="15">
      <c r="A9" s="309"/>
      <c r="B9" s="309"/>
      <c r="C9" s="312"/>
      <c r="D9" s="313"/>
      <c r="E9" s="303"/>
      <c r="F9" s="304"/>
      <c r="G9" s="304"/>
      <c r="H9" s="304"/>
      <c r="I9" s="304"/>
      <c r="J9" s="305"/>
      <c r="K9" s="309"/>
      <c r="L9" s="257"/>
      <c r="M9" s="256"/>
      <c r="N9" s="309"/>
      <c r="O9" s="309"/>
      <c r="P9" s="309"/>
      <c r="Q9" s="309"/>
      <c r="R9" s="307"/>
      <c r="S9" s="256"/>
      <c r="T9" s="256"/>
    </row>
    <row r="10" spans="1:20" s="39" customFormat="1" ht="15">
      <c r="A10" s="309"/>
      <c r="B10" s="309"/>
      <c r="C10" s="312"/>
      <c r="D10" s="313"/>
      <c r="E10" s="300" t="s">
        <v>29</v>
      </c>
      <c r="F10" s="301"/>
      <c r="G10" s="302"/>
      <c r="H10" s="300" t="s">
        <v>30</v>
      </c>
      <c r="I10" s="301"/>
      <c r="J10" s="302"/>
      <c r="K10" s="309"/>
      <c r="L10" s="257"/>
      <c r="M10" s="256"/>
      <c r="N10" s="309"/>
      <c r="O10" s="309"/>
      <c r="P10" s="309"/>
      <c r="Q10" s="309"/>
      <c r="R10" s="307"/>
      <c r="S10" s="256"/>
      <c r="T10" s="256"/>
    </row>
    <row r="11" spans="1:20" s="39" customFormat="1" ht="15">
      <c r="A11" s="310"/>
      <c r="B11" s="310"/>
      <c r="C11" s="303"/>
      <c r="D11" s="305"/>
      <c r="E11" s="303"/>
      <c r="F11" s="304"/>
      <c r="G11" s="305"/>
      <c r="H11" s="303"/>
      <c r="I11" s="304"/>
      <c r="J11" s="305"/>
      <c r="K11" s="310"/>
      <c r="L11" s="257"/>
      <c r="M11" s="256"/>
      <c r="N11" s="310"/>
      <c r="O11" s="310"/>
      <c r="P11" s="310"/>
      <c r="Q11" s="310"/>
      <c r="R11" s="307"/>
      <c r="S11" s="256"/>
      <c r="T11" s="256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72" t="s">
        <v>986</v>
      </c>
      <c r="B72" s="272"/>
      <c r="C72" s="272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2"/>
      <c r="S72" s="272"/>
      <c r="T72" s="272"/>
    </row>
    <row r="73" spans="1:20" s="44" customFormat="1" ht="12.75" customHeight="1">
      <c r="A73" s="3"/>
      <c r="B73" s="274" t="str">
        <f>"Tổng danh sách có"</f>
        <v>Tổng danh sách có</v>
      </c>
      <c r="C73" s="274"/>
      <c r="D73" s="274"/>
      <c r="E73" s="254" t="str">
        <f>": "&amp;IF(MAX($A$12:$A$71)=1,0,MAX($A$12:$A$71))&amp;" SV"</f>
        <v>: 0 SV</v>
      </c>
      <c r="F73" s="254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52" t="str">
        <f>"Tổng số SV có điểm Xuất sắc từ 9 đ đến 10 đ"</f>
        <v>Tổng số SV có điểm Xuất sắc từ 9 đ đến 10 đ</v>
      </c>
      <c r="C74" s="252"/>
      <c r="D74" s="252"/>
      <c r="E74" s="252" t="str">
        <f>": "&amp;COUNTIF(R12:R71,"XS")&amp;" SV"</f>
        <v>: 0 SV</v>
      </c>
      <c r="F74" s="252"/>
      <c r="G74" s="252" t="str">
        <f>IF(B12="","","("&amp;ROUND(COUNTIF(R12:R71,"XS")*100/MAX($A$12:$A$71),2)&amp;"%" &amp;")")</f>
        <v/>
      </c>
      <c r="H74" s="252"/>
      <c r="I74" s="276" t="str">
        <f>IF(B12="","","Tổng số SV có điểm &gt;= 5 đ : "&amp;COUNTIF(P12:P71,"&gt;=5")&amp;" SV"&amp;" ("&amp;ROUND(COUNTIF(P12:P71,"&gt;=5")*100/MAX($A$12:$A$71),2)&amp;"%" &amp;")")</f>
        <v/>
      </c>
      <c r="J74" s="276"/>
      <c r="K74" s="276"/>
      <c r="L74" s="276"/>
      <c r="M74" s="276"/>
      <c r="N74" s="276"/>
      <c r="Q74" s="66"/>
      <c r="R74" s="66"/>
    </row>
    <row r="75" spans="1:20" s="44" customFormat="1">
      <c r="A75" s="2"/>
      <c r="B75" s="252" t="str">
        <f>"Tổng số SV có điểm Giỏi từ 8 đ đến &lt;9 đ"</f>
        <v>Tổng số SV có điểm Giỏi từ 8 đ đến &lt;9 đ</v>
      </c>
      <c r="C75" s="252"/>
      <c r="D75" s="252"/>
      <c r="E75" s="252" t="str">
        <f>": "&amp;COUNTIF(R12:R71,"Giỏi")&amp;" SV"</f>
        <v>: 0 SV</v>
      </c>
      <c r="F75" s="252"/>
      <c r="G75" s="252" t="str">
        <f>IF(B12="","","("&amp;ROUND(COUNTIF(R12:R71,"Giỏi")*100/MAX($A$12:$A$71),2)&amp;"%" &amp;")")</f>
        <v/>
      </c>
      <c r="H75" s="252"/>
      <c r="I75" s="276"/>
      <c r="J75" s="276"/>
      <c r="K75" s="276"/>
      <c r="L75" s="276"/>
      <c r="M75" s="276"/>
      <c r="N75" s="276"/>
      <c r="Q75" s="66"/>
      <c r="R75" s="66"/>
    </row>
    <row r="76" spans="1:20" s="44" customFormat="1">
      <c r="A76" s="2"/>
      <c r="B76" s="252" t="str">
        <f>"Tổng số SV có điểm Khá từ 7 đ đến &lt;8 đ"</f>
        <v>Tổng số SV có điểm Khá từ 7 đ đến &lt;8 đ</v>
      </c>
      <c r="C76" s="252"/>
      <c r="D76" s="252"/>
      <c r="E76" s="252" t="str">
        <f>": "&amp;COUNTIF(R12:R71,"Khá")&amp;" SV"</f>
        <v>: 0 SV</v>
      </c>
      <c r="F76" s="252"/>
      <c r="G76" s="252" t="str">
        <f>IF(B12="","","("&amp;ROUND(COUNTIF(R12:R71,"Khá")*100/MAX($A$12:$A$71),2)&amp;"%" &amp;")")</f>
        <v/>
      </c>
      <c r="H76" s="252"/>
      <c r="I76" s="276"/>
      <c r="J76" s="276"/>
      <c r="K76" s="276"/>
      <c r="L76" s="276"/>
      <c r="M76" s="276"/>
      <c r="N76" s="276"/>
      <c r="Q76" s="66"/>
      <c r="R76" s="66"/>
    </row>
    <row r="77" spans="1:20" s="44" customFormat="1">
      <c r="A77" s="2"/>
      <c r="B77" s="252" t="str">
        <f>"Tổng số SV có điểm Trung bình khá từ 6 đ đến &lt;7 đ"</f>
        <v>Tổng số SV có điểm Trung bình khá từ 6 đ đến &lt;7 đ</v>
      </c>
      <c r="C77" s="252"/>
      <c r="D77" s="252"/>
      <c r="E77" s="252" t="str">
        <f>": "&amp;COUNTIF(R12:R71,"TBK")&amp;" SV"</f>
        <v>: 0 SV</v>
      </c>
      <c r="F77" s="252"/>
      <c r="G77" s="252" t="str">
        <f>IF(B12="","","("&amp;ROUND(COUNTIF(R12:R71,"TBK")*100/MAX($A$12:$A$71),2)&amp;"%" &amp;")")</f>
        <v/>
      </c>
      <c r="H77" s="252"/>
      <c r="I77" s="276"/>
      <c r="J77" s="276"/>
      <c r="K77" s="276"/>
      <c r="L77" s="276"/>
      <c r="M77" s="276"/>
      <c r="N77" s="276"/>
      <c r="Q77" s="66"/>
      <c r="R77" s="66"/>
    </row>
    <row r="78" spans="1:20" s="44" customFormat="1">
      <c r="A78" s="2"/>
      <c r="B78" s="252" t="str">
        <f>"Tổng số SV có điểm Trung bình từ 5 đ đến &lt;6 đ"</f>
        <v>Tổng số SV có điểm Trung bình từ 5 đ đến &lt;6 đ</v>
      </c>
      <c r="C78" s="252"/>
      <c r="D78" s="252"/>
      <c r="E78" s="252" t="str">
        <f>": "&amp;COUNTIF(R12:R71,"TB")&amp;" SV"</f>
        <v>: 0 SV</v>
      </c>
      <c r="F78" s="252"/>
      <c r="G78" s="252" t="str">
        <f>IF(B12="","","("&amp;ROUND(COUNTIF(R12:R71,"TB")*100/MAX($A$12:$A$71),2)&amp;"%" &amp;")")</f>
        <v/>
      </c>
      <c r="H78" s="252"/>
      <c r="I78" s="269" t="str">
        <f>IF(B12="","","Tổng số SV có điểm &lt; 5 đ : "&amp;COUNTIF(P12:P71,"&lt;5")&amp;" SV"&amp;" ("&amp;ROUND(COUNTIF(P12:P71,"&lt;5")*100/MAX($A$12:$A$71),2)&amp;"%" &amp;")")</f>
        <v/>
      </c>
      <c r="J78" s="269"/>
      <c r="K78" s="269"/>
      <c r="L78" s="269"/>
      <c r="M78" s="269"/>
      <c r="N78" s="269"/>
      <c r="Q78" s="66"/>
      <c r="R78" s="66"/>
    </row>
    <row r="79" spans="1:20" s="44" customFormat="1">
      <c r="A79" s="2"/>
      <c r="B79" s="252" t="str">
        <f>"Tổng số SV có điểm Yếu từ 4 đ đến &lt;5 đ"</f>
        <v>Tổng số SV có điểm Yếu từ 4 đ đến &lt;5 đ</v>
      </c>
      <c r="C79" s="252"/>
      <c r="D79" s="252"/>
      <c r="E79" s="252" t="str">
        <f>": "&amp;COUNTIF(R12:R71,"Yếu")&amp;" SV"</f>
        <v>: 0 SV</v>
      </c>
      <c r="F79" s="252"/>
      <c r="G79" s="252" t="str">
        <f>IF(B12="","","("&amp;ROUND(COUNTIF(R12:R71,"Yếu")*100/MAX($A$12:$A$71),2)&amp;"%"&amp;")")</f>
        <v/>
      </c>
      <c r="H79" s="252"/>
      <c r="I79" s="269"/>
      <c r="J79" s="269"/>
      <c r="K79" s="269"/>
      <c r="L79" s="269"/>
      <c r="M79" s="269"/>
      <c r="N79" s="269"/>
      <c r="Q79" s="66"/>
      <c r="R79" s="66"/>
    </row>
    <row r="80" spans="1:20" s="44" customFormat="1">
      <c r="A80" s="2"/>
      <c r="B80" s="252" t="str">
        <f>"Tổng số SV có điểm Kém dưới 4 đ"</f>
        <v>Tổng số SV có điểm Kém dưới 4 đ</v>
      </c>
      <c r="C80" s="252"/>
      <c r="D80" s="252"/>
      <c r="E80" s="252" t="str">
        <f>": "&amp;COUNTIF(R12:R71,"Kém")&amp;" SV"</f>
        <v>: 0 SV</v>
      </c>
      <c r="F80" s="252"/>
      <c r="G80" s="252" t="str">
        <f>IF(B12="","","("&amp;ROUND(COUNTIF(R12:R71,"Kém")*100/MAX($A$12:$A$71),2)&amp;"%"&amp;")")</f>
        <v/>
      </c>
      <c r="H80" s="252"/>
      <c r="I80" s="269"/>
      <c r="J80" s="269"/>
      <c r="K80" s="269"/>
      <c r="L80" s="269"/>
      <c r="M80" s="269"/>
      <c r="N80" s="269"/>
      <c r="Q80" s="66"/>
      <c r="R80" s="66"/>
    </row>
    <row r="81" spans="1:18" s="44" customFormat="1">
      <c r="A81" s="2"/>
      <c r="B81" s="252" t="str">
        <f>"Tổng số SV không xếp loại vì chưa đủ điều kiện"</f>
        <v>Tổng số SV không xếp loại vì chưa đủ điều kiện</v>
      </c>
      <c r="C81" s="252"/>
      <c r="D81" s="252"/>
      <c r="E81" s="252" t="str">
        <f>": "&amp;COUNTIF(R12:R71,"KXL")&amp;" SV"</f>
        <v>: 0 SV</v>
      </c>
      <c r="F81" s="252"/>
      <c r="G81" s="252" t="str">
        <f>IF(B12="","","("&amp;ROUND(COUNTIF(R12:R71,"KXL")*100/MAX($A$12:$A$71),2)&amp;"%"&amp;")")</f>
        <v/>
      </c>
      <c r="H81" s="252"/>
      <c r="I81" s="269"/>
      <c r="J81" s="269"/>
      <c r="K81" s="269"/>
      <c r="L81" s="269"/>
      <c r="M81" s="269"/>
      <c r="N81" s="269"/>
      <c r="Q81" s="66"/>
      <c r="R81" s="66"/>
    </row>
    <row r="82" spans="1:18" ht="15.75">
      <c r="B82" s="299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299"/>
      <c r="D82" s="299"/>
      <c r="E82" s="299"/>
      <c r="F82" s="299"/>
      <c r="G82" s="299"/>
      <c r="H82" s="299"/>
      <c r="I82" s="299"/>
      <c r="J82" s="299"/>
      <c r="K82" s="299"/>
      <c r="L82" s="299"/>
      <c r="M82" s="299"/>
      <c r="N82" s="299"/>
    </row>
    <row r="83" spans="1:18" ht="15.75" customHeight="1">
      <c r="A83" s="267" t="s">
        <v>20</v>
      </c>
      <c r="B83" s="267"/>
      <c r="C83" s="267"/>
      <c r="D83" s="267" t="s">
        <v>27</v>
      </c>
      <c r="E83" s="267"/>
      <c r="F83" s="267"/>
      <c r="G83" s="267"/>
      <c r="I83" s="77"/>
      <c r="J83" s="77"/>
      <c r="K83" s="77"/>
      <c r="L83" s="77"/>
      <c r="M83" s="267" t="s">
        <v>21</v>
      </c>
      <c r="N83" s="267"/>
      <c r="O83" s="267"/>
      <c r="P83" s="267"/>
      <c r="Q83" s="26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66"/>
      <c r="N90" s="266"/>
      <c r="O90" s="266"/>
      <c r="P90" s="266"/>
      <c r="Q90" s="266"/>
      <c r="R90" s="56"/>
    </row>
  </sheetData>
  <sheetProtection password="CD88" sheet="1" formatCells="0" formatRows="0"/>
  <dataConsolidate/>
  <mergeCells count="66">
    <mergeCell ref="G79:H79"/>
    <mergeCell ref="E78:F78"/>
    <mergeCell ref="G78:H78"/>
    <mergeCell ref="E79:F79"/>
    <mergeCell ref="B73:D73"/>
    <mergeCell ref="E73:F73"/>
    <mergeCell ref="E77:F77"/>
    <mergeCell ref="E10:G11"/>
    <mergeCell ref="L8:L11"/>
    <mergeCell ref="M8:M11"/>
    <mergeCell ref="B76:D76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  <mergeCell ref="A8:A11"/>
    <mergeCell ref="P8:P11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2016-03-21T12:46:38Z</dcterms:modified>
</cp:coreProperties>
</file>